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Default Extension="fntdata" ContentType="application/x-fontdata"/>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_rels/sheet1.xml.rels" ContentType="application/vnd.openxmlformats-package.relationships+xml"/>
  <Override PartName="/xl/worksheets/_rels/sheet20.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6.xml.rels" ContentType="application/vnd.openxmlformats-package.relationships+xml"/>
  <Override PartName="/xl/worksheets/_rels/sheet7.xml.rels" ContentType="application/vnd.openxmlformats-package.relationships+xml"/>
  <Override PartName="/xl/worksheets/_rels/sheet21.xml.rels" ContentType="application/vnd.openxmlformats-package.relationships+xml"/>
  <Override PartName="/xl/worksheets/_rels/sheet8.xml.rels" ContentType="application/vnd.openxmlformats-package.relationships+xml"/>
  <Override PartName="/xl/worksheets/_rels/sheet22.xml.rels" ContentType="application/vnd.openxmlformats-package.relationships+xml"/>
  <Override PartName="/xl/worksheets/_rels/sheet9.xml.rels" ContentType="application/vnd.openxmlformats-package.relationships+xml"/>
  <Override PartName="/xl/worksheets/_rels/sheet10.xml.rels" ContentType="application/vnd.openxmlformats-package.relationships+xml"/>
  <Override PartName="/xl/worksheets/_rels/sheet11.xml.rels" ContentType="application/vnd.openxmlformats-package.relationships+xml"/>
  <Override PartName="/xl/worksheets/_rels/sheet12.xml.rels" ContentType="application/vnd.openxmlformats-package.relationships+xml"/>
  <Override PartName="/xl/worksheets/_rels/sheet13.xml.rels" ContentType="application/vnd.openxmlformats-package.relationships+xml"/>
  <Override PartName="/xl/worksheets/_rels/sheet14.xml.rels" ContentType="application/vnd.openxmlformats-package.relationships+xml"/>
  <Override PartName="/xl/worksheets/_rels/sheet15.xml.rels" ContentType="application/vnd.openxmlformats-package.relationships+xml"/>
  <Override PartName="/xl/worksheets/_rels/sheet16.xml.rels" ContentType="application/vnd.openxmlformats-package.relationships+xml"/>
  <Override PartName="/xl/worksheets/_rels/sheet17.xml.rels" ContentType="application/vnd.openxmlformats-package.relationships+xml"/>
  <Override PartName="/xl/worksheets/_rels/sheet18.xml.rels" ContentType="application/vnd.openxmlformats-package.relationships+xml"/>
  <Override PartName="/xl/worksheets/_rels/sheet19.xml.rels" ContentType="application/vnd.openxmlformats-package.relationships+xml"/>
  <Override PartName="/xl/worksheets/_rels/sheet23.xml.rels" ContentType="application/vnd.openxmlformats-package.relationships+xml"/>
  <Override PartName="/xl/worksheets/_rels/sheet24.xml.rels" ContentType="application/vnd.openxmlformats-package.relationships+xml"/>
  <Override PartName="/xl/worksheets/_rels/sheet25.xml.rels" ContentType="application/vnd.openxmlformats-package.relationships+xml"/>
  <Override PartName="/xl/worksheets/_rels/sheet26.xml.rels" ContentType="application/vnd.openxmlformats-package.relationships+xml"/>
  <Override PartName="/xl/worksheets/_rels/sheet27.xml.rels" ContentType="application/vnd.openxmlformats-package.relationship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_rels/drawing1.xml.rels" ContentType="application/vnd.openxmlformats-package.relationships+xml"/>
  <Override PartName="/xl/drawings/_rels/drawing20.xml.rels" ContentType="application/vnd.openxmlformats-package.relationships+xml"/>
  <Override PartName="/xl/drawings/_rels/drawing2.xml.rels" ContentType="application/vnd.openxmlformats-package.relationships+xml"/>
  <Override PartName="/xl/drawings/_rels/drawing21.xml.rels" ContentType="application/vnd.openxmlformats-package.relationships+xml"/>
  <Override PartName="/xl/drawings/_rels/drawing3.xml.rels" ContentType="application/vnd.openxmlformats-package.relationships+xml"/>
  <Override PartName="/xl/drawings/_rels/drawing4.xml.rels" ContentType="application/vnd.openxmlformats-package.relationships+xml"/>
  <Override PartName="/xl/drawings/_rels/drawing22.xml.rels" ContentType="application/vnd.openxmlformats-package.relationships+xml"/>
  <Override PartName="/xl/drawings/_rels/drawing5.xml.rels" ContentType="application/vnd.openxmlformats-package.relationships+xml"/>
  <Override PartName="/xl/drawings/_rels/drawing23.xml.rels" ContentType="application/vnd.openxmlformats-package.relationships+xml"/>
  <Override PartName="/xl/drawings/_rels/drawing6.xml.rels" ContentType="application/vnd.openxmlformats-package.relationships+xml"/>
  <Override PartName="/xl/drawings/_rels/drawing24.xml.rels" ContentType="application/vnd.openxmlformats-package.relationships+xml"/>
  <Override PartName="/xl/drawings/_rels/drawing7.xml.rels" ContentType="application/vnd.openxmlformats-package.relationships+xml"/>
  <Override PartName="/xl/drawings/_rels/drawing25.xml.rels" ContentType="application/vnd.openxmlformats-package.relationships+xml"/>
  <Override PartName="/xl/drawings/_rels/drawing8.xml.rels" ContentType="application/vnd.openxmlformats-package.relationships+xml"/>
  <Override PartName="/xl/drawings/_rels/drawing26.xml.rels" ContentType="application/vnd.openxmlformats-package.relationships+xml"/>
  <Override PartName="/xl/drawings/_rels/drawing9.xml.rels" ContentType="application/vnd.openxmlformats-package.relationships+xml"/>
  <Override PartName="/xl/drawings/_rels/drawing10.xml.rels" ContentType="application/vnd.openxmlformats-package.relationships+xml"/>
  <Override PartName="/xl/drawings/_rels/drawing11.xml.rels" ContentType="application/vnd.openxmlformats-package.relationships+xml"/>
  <Override PartName="/xl/drawings/_rels/drawing12.xml.rels" ContentType="application/vnd.openxmlformats-package.relationships+xml"/>
  <Override PartName="/xl/drawings/_rels/drawing13.xml.rels" ContentType="application/vnd.openxmlformats-package.relationships+xml"/>
  <Override PartName="/xl/drawings/_rels/drawing14.xml.rels" ContentType="application/vnd.openxmlformats-package.relationships+xml"/>
  <Override PartName="/xl/drawings/_rels/drawing15.xml.rels" ContentType="application/vnd.openxmlformats-package.relationships+xml"/>
  <Override PartName="/xl/drawings/_rels/drawing16.xml.rels" ContentType="application/vnd.openxmlformats-package.relationships+xml"/>
  <Override PartName="/xl/drawings/_rels/drawing17.xml.rels" ContentType="application/vnd.openxmlformats-package.relationships+xml"/>
  <Override PartName="/xl/drawings/_rels/drawing18.xml.rels" ContentType="application/vnd.openxmlformats-package.relationships+xml"/>
  <Override PartName="/xl/drawings/_rels/drawing19.xml.rels" ContentType="application/vnd.openxmlformats-package.relationships+xml"/>
  <Override PartName="/xl/drawings/_rels/drawing27.xml.rels" ContentType="application/vnd.openxmlformats-package.relationships+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styles.xml" ContentType="application/vnd.openxmlformats-officedocument.spreadsheetml.styles+xml"/>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media/image1.jpeg" ContentType="image/jpeg"/>
  <Override PartName="/xl/media/image2.jpeg" ContentType="image/jpeg"/>
  <Override PartName="/xl/sharedStrings.xml" ContentType="application/vnd.openxmlformats-officedocument.spreadsheetml.sharedString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Vyplnění-manuál " sheetId="1" state="visible" r:id="rId3"/>
    <sheet name="Krycí list rozpočtu" sheetId="2" state="visible" r:id="rId4"/>
    <sheet name="VORN" sheetId="3" state="hidden" r:id="rId5"/>
    <sheet name="Rozpočet - objekty" sheetId="4" state="visible" r:id="rId6"/>
    <sheet name="Stavební rozpočet" sheetId="5" state="visible" r:id="rId7"/>
    <sheet name="Výkaz výměr" sheetId="6" state="visible" r:id="rId8"/>
    <sheet name="Rozpočet - vybrané sloupce" sheetId="7" state="visible" r:id="rId9"/>
    <sheet name="Krycí list rozpočtu (SO01.10)" sheetId="8" state="visible" r:id="rId10"/>
    <sheet name="VORN objektu (SO01.10)" sheetId="9" state="hidden" r:id="rId11"/>
    <sheet name="Stavební rozpočet (SO01.10)" sheetId="10" state="visible" r:id="rId12"/>
    <sheet name="Výkaz výměr (SO01.10)" sheetId="11" state="visible" r:id="rId13"/>
    <sheet name="Krycí list rozpočtu (SO01.11)" sheetId="12" state="visible" r:id="rId14"/>
    <sheet name="VORN objektu (SO01.11)" sheetId="13" state="hidden" r:id="rId15"/>
    <sheet name="Stavební rozpočet (SO01.11)" sheetId="14" state="visible" r:id="rId16"/>
    <sheet name="Výkaz výměr (SO01.11)" sheetId="15" state="visible" r:id="rId17"/>
    <sheet name="Krycí list rozpočtu (SO01.12)" sheetId="16" state="visible" r:id="rId18"/>
    <sheet name="VORN objektu (SO01.12)" sheetId="17" state="hidden" r:id="rId19"/>
    <sheet name="Stavební rozpočet (SO01.12)" sheetId="18" state="visible" r:id="rId20"/>
    <sheet name="Výkaz výměr (SO01.12)" sheetId="19" state="visible" r:id="rId21"/>
    <sheet name="Krycí list rozpočtu (SO01.13)" sheetId="20" state="visible" r:id="rId22"/>
    <sheet name="VORN objektu (SO01.13)" sheetId="21" state="hidden" r:id="rId23"/>
    <sheet name="Stavební rozpočet (SO01.13)" sheetId="22" state="visible" r:id="rId24"/>
    <sheet name="Výkaz výměr (SO01.13)" sheetId="23" state="visible" r:id="rId25"/>
    <sheet name="Krycí list rozpočtu (VORN)" sheetId="24" state="visible" r:id="rId26"/>
    <sheet name="VORN objektu (VORN)" sheetId="25" state="hidden" r:id="rId27"/>
    <sheet name="Stavební rozpočet (VORN)" sheetId="26" state="visible" r:id="rId28"/>
    <sheet name="Výkaz výměr (VORN)" sheetId="27" state="visible" r:id="rId29"/>
  </sheets>
  <definedNames>
    <definedName function="false" hidden="false" localSheetId="1" name="_xlnm.Print_Area" vbProcedure="false">'Krycí list rozpočtu'!$A$1:$I$75</definedName>
    <definedName function="false" hidden="false" localSheetId="7" name="_xlnm.Print_Area" vbProcedure="false">'Krycí list rozpočtu (SO01.10)'!$A$1:$I$33</definedName>
    <definedName function="false" hidden="false" localSheetId="11" name="_xlnm.Print_Area" vbProcedure="false">'Krycí list rozpočtu (SO01.11)'!$A$1:$I$33</definedName>
    <definedName function="false" hidden="false" localSheetId="15" name="_xlnm.Print_Area" vbProcedure="false">'Krycí list rozpočtu (SO01.12)'!$A$1:$I$33</definedName>
    <definedName function="false" hidden="false" localSheetId="19" name="_xlnm.Print_Area" vbProcedure="false">'Krycí list rozpočtu (SO01.13)'!$A$1:$I$33</definedName>
    <definedName function="false" hidden="false" localSheetId="23" name="_xlnm.Print_Area" vbProcedure="false">'Krycí list rozpočtu (VORN)'!$A$1:$I$33</definedName>
    <definedName function="false" hidden="false" localSheetId="3" name="_xlnm.Print_Area" vbProcedure="false">'Rozpočet - objekty'!$A$1:$L$27</definedName>
    <definedName function="false" hidden="false" localSheetId="6" name="_xlnm.Print_Area" vbProcedure="false">'Rozpočet - vybrané sloupce'!$A$1:$J$177</definedName>
    <definedName function="false" hidden="false" localSheetId="6" name="_xlnm.Print_Titles" vbProcedure="false">'Rozpočet - vybrané sloupce'!$1:$1</definedName>
    <definedName function="false" hidden="false" localSheetId="4" name="_xlnm.Print_Area" vbProcedure="false">'Stavební rozpočet'!$A$1:$N$188</definedName>
    <definedName function="false" hidden="false" localSheetId="4" name="_xlnm.Print_Titles" vbProcedure="false">'Stavební rozpočet'!$10:$11</definedName>
    <definedName function="false" hidden="false" localSheetId="9" name="_xlnm.Print_Area" vbProcedure="false">'Stavební rozpočet (SO01.10)'!$A$1:$N$38</definedName>
    <definedName function="false" hidden="false" localSheetId="9" name="_xlnm.Print_Titles" vbProcedure="false">'Stavební rozpočet (SO01.10)'!$10:$11</definedName>
    <definedName function="false" hidden="false" localSheetId="13" name="_xlnm.Print_Area" vbProcedure="false">'Stavební rozpočet (SO01.11)'!$A$1:$N$57</definedName>
    <definedName function="false" hidden="false" localSheetId="13" name="_xlnm.Print_Titles" vbProcedure="false">'Stavební rozpočet (SO01.11)'!$10:$11</definedName>
    <definedName function="false" hidden="false" localSheetId="17" name="_xlnm.Print_Area" vbProcedure="false">'Stavební rozpočet (SO01.12)'!$A$1:$N$81</definedName>
    <definedName function="false" hidden="false" localSheetId="17" name="_xlnm.Print_Titles" vbProcedure="false">'Stavební rozpočet (SO01.12)'!$10:$11</definedName>
    <definedName function="false" hidden="false" localSheetId="21" name="_xlnm.Print_Area" vbProcedure="false">'Stavební rozpočet (SO01.13)'!$A$1:$N$36</definedName>
    <definedName function="false" hidden="false" localSheetId="25" name="_xlnm.Print_Area" vbProcedure="false">'Stavební rozpočet (VORN)'!$A$1:$N$24</definedName>
    <definedName function="false" hidden="false" localSheetId="5" name="_xlnm.Print_Area" vbProcedure="false">'Výkaz výměr'!$A$1:$H$355</definedName>
    <definedName function="false" hidden="false" localSheetId="5" name="_xlnm.Print_Titles" vbProcedure="false">'Výkaz výměr'!$10:$10</definedName>
    <definedName function="false" hidden="false" localSheetId="10" name="_xlnm.Print_Area" vbProcedure="false">'Výkaz výměr (SO01.10)'!$A$1:$H$59</definedName>
    <definedName function="false" hidden="false" localSheetId="10" name="_xlnm.Print_Titles" vbProcedure="false">'Výkaz výměr (SO01.10)'!$10:$10</definedName>
    <definedName function="false" hidden="false" localSheetId="14" name="_xlnm.Print_Area" vbProcedure="false">'Výkaz výměr (SO01.11)'!$A$1:$H$104</definedName>
    <definedName function="false" hidden="false" localSheetId="14" name="_xlnm.Print_Titles" vbProcedure="false">'Výkaz výměr (SO01.11)'!$10:$10</definedName>
    <definedName function="false" hidden="false" localSheetId="18" name="_xlnm.Print_Area" vbProcedure="false">'Výkaz výměr (SO01.12)'!$A$1:$H$147</definedName>
    <definedName function="false" hidden="false" localSheetId="18" name="_xlnm.Print_Titles" vbProcedure="false">'Výkaz výměr (SO01.12)'!$10:$10</definedName>
    <definedName function="false" hidden="false" localSheetId="22" name="_xlnm.Print_Area" vbProcedure="false">'Výkaz výměr (SO01.13)'!$A$1:$H$56</definedName>
    <definedName function="false" hidden="false" localSheetId="22" name="_xlnm.Print_Titles" vbProcedure="false">'Výkaz výměr (SO01.13)'!$10:$10</definedName>
    <definedName function="false" hidden="false" localSheetId="26" name="_xlnm.Print_Area" vbProcedure="false">'Výkaz výměr (VORN)'!$A$1:$H$31</definedName>
    <definedName function="false" hidden="false" localSheetId="0" name="_xlnm.Print_Area" vbProcedure="false">'Vyplnění-manuál '!$A$1:$I$98</definedName>
    <definedName function="false" hidden="false" name="vorn_sum" vbProcedure="false">VORN!$I$36</definedName>
    <definedName function="false" hidden="false" localSheetId="0" name="Excel_BuiltIn_Print_Area" vbProcedure="false">'Vyplnění-manuál '!$A$1:$I$102</definedName>
    <definedName function="false" hidden="false" localSheetId="0" name="_xlnm_Print_Area" vbProcedure="false">'Vyplnění-manuál '!$A$1:$I$105</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<sst xmlns="http://schemas.openxmlformats.org/spreadsheetml/2006/main" count="8474" uniqueCount="797">
  <si>
    <t xml:space="preserve">Osnova pro vyplnění-rozpočtu.</t>
  </si>
  <si>
    <t xml:space="preserve">Název stavby:</t>
  </si>
  <si>
    <t xml:space="preserve">Objednatel:</t>
  </si>
  <si>
    <t xml:space="preserve">IČO/DIČ:</t>
  </si>
  <si>
    <t xml:space="preserve">00231151/</t>
  </si>
  <si>
    <t xml:space="preserve">Druh stavby:</t>
  </si>
  <si>
    <t xml:space="preserve">Projektant:</t>
  </si>
  <si>
    <t xml:space="preserve">09546146/</t>
  </si>
  <si>
    <t xml:space="preserve">Lokalita:</t>
  </si>
  <si>
    <t xml:space="preserve">Zhotovitel:</t>
  </si>
  <si>
    <t xml:space="preserve">Začátek výstavby:</t>
  </si>
  <si>
    <t xml:space="preserve">Konec výstavby:</t>
  </si>
  <si>
    <t xml:space="preserve">Položek:</t>
  </si>
  <si>
    <t xml:space="preserve">JKSO:</t>
  </si>
  <si>
    <t xml:space="preserve">Zpracoval:</t>
  </si>
  <si>
    <t xml:space="preserve">Datum:</t>
  </si>
  <si>
    <t xml:space="preserve">1)Ocenit rozpočet je nejlépe tak, že se ocení cenami nejprve položky hlavního rozpočtu a automatický se samy přepíši dle vzorců  listů(objektů) .(V případě zamčených buněk ocenit nezamčené neobarvené buňky v hlavním rozpočtu)</t>
  </si>
  <si>
    <t xml:space="preserve">2)K soutěži, pokud nebude v zadávací dokumentaci uvedeno jinak, stačí vyplnit a odevzdat vytištěné a podepsané listy(soupisy prací a dodávek-rozpočtů) první části barevně neoznačené(krycí list,objekty,rekapitulace-skupin a podskupin,hlavní soupis prací a dodávek-rozpočet)  . Ostatní v elektronické podobě.</t>
  </si>
  <si>
    <t xml:space="preserve">3)Upozorňuji na povinnost uchazeče si překontrolovat funkčnost vzorců.(Může dojít při přepisu na elektronická média či vlastních výpočtech k porušení vztahů vzorců)U zamčených nezasahovat do struktury listů a buněk.</t>
  </si>
  <si>
    <r>
      <rPr>
        <sz val="10"/>
        <rFont val="Arial"/>
        <family val="2"/>
        <charset val="238"/>
      </rPr>
      <t xml:space="preserve">4</t>
    </r>
    <r>
      <rPr>
        <sz val="10"/>
        <color rgb="FF0000CC"/>
        <rFont val="Arial"/>
        <family val="2"/>
        <charset val="238"/>
      </rPr>
      <t xml:space="preserve">)Upozorňuji na vyplnění nejen ceny, ale i na rozepsání na dodávku a montáž.(např:omítky,betony apod.)</t>
    </r>
  </si>
  <si>
    <t xml:space="preserve">5)Upozorňuji na vyplnění VORN. Položky s nul.množstvím u pol.s % se vepisuje množství automaticky z cen položek.</t>
  </si>
  <si>
    <t xml:space="preserve">6)Upozorňuji na popisy a komentáře RTS(především zda je položka s materiálem , agregována a pod)</t>
  </si>
  <si>
    <t xml:space="preserve">7)Upozorňuji na informace u krycího listu rozpočtu/soupisu prací a dodávek</t>
  </si>
  <si>
    <t xml:space="preserve">Vyhotovil:</t>
  </si>
  <si>
    <t xml:space="preserve">Pohodová 326, 671 68 Šanov</t>
  </si>
  <si>
    <t xml:space="preserve">Autorizovaný technik pro pozemní stavby</t>
  </si>
  <si>
    <t xml:space="preserve">ČKIT – 1005850</t>
  </si>
  <si>
    <t xml:space="preserve">Mobil:602 757310</t>
  </si>
  <si>
    <t xml:space="preserve">bohuslav@rozpocty-hemala.cz</t>
  </si>
  <si>
    <t xml:space="preserve">www.rozpocty-hemala.cz</t>
  </si>
  <si>
    <t xml:space="preserve">Odkaz na ceníkovou soustavu použitou pro zpracování rozpočtu stránka 2.</t>
  </si>
  <si>
    <t xml:space="preserve">Krycí list soupisu prací a dodávek -rozpočtu</t>
  </si>
  <si>
    <t xml:space="preserve">Rozpočtové náklady v Kč</t>
  </si>
  <si>
    <t xml:space="preserve">A</t>
  </si>
  <si>
    <t xml:space="preserve">Základní rozpočtové náklady</t>
  </si>
  <si>
    <t xml:space="preserve">B</t>
  </si>
  <si>
    <t xml:space="preserve">Doplňkové náklady</t>
  </si>
  <si>
    <t xml:space="preserve">HSV</t>
  </si>
  <si>
    <t xml:space="preserve">Dodávky</t>
  </si>
  <si>
    <t xml:space="preserve">Práce přesčas</t>
  </si>
  <si>
    <t xml:space="preserve">Montáž</t>
  </si>
  <si>
    <t xml:space="preserve">Bez pevné podl.</t>
  </si>
  <si>
    <t xml:space="preserve">PSV</t>
  </si>
  <si>
    <t xml:space="preserve">Kulturní památka</t>
  </si>
  <si>
    <t xml:space="preserve">"M"</t>
  </si>
  <si>
    <t xml:space="preserve">Ostatní materiál</t>
  </si>
  <si>
    <t xml:space="preserve">Přesun hmot a sutí</t>
  </si>
  <si>
    <t xml:space="preserve">ZRN celkem</t>
  </si>
  <si>
    <t xml:space="preserve">DN celkem</t>
  </si>
  <si>
    <t xml:space="preserve">DN celkem z obj.</t>
  </si>
  <si>
    <t xml:space="preserve">Základ 0%</t>
  </si>
  <si>
    <t xml:space="preserve">Základ 12%</t>
  </si>
  <si>
    <t xml:space="preserve">DPH 12%</t>
  </si>
  <si>
    <t xml:space="preserve">Celkem bez DPH</t>
  </si>
  <si>
    <t xml:space="preserve">Základ 21%</t>
  </si>
  <si>
    <t xml:space="preserve">DPH 21%</t>
  </si>
  <si>
    <t xml:space="preserve">Celkem včetně DPH</t>
  </si>
  <si>
    <t xml:space="preserve">Projektant</t>
  </si>
  <si>
    <t xml:space="preserve">Objednatel</t>
  </si>
  <si>
    <t xml:space="preserve">Zhotovitel</t>
  </si>
  <si>
    <t xml:space="preserve">Datum, razítko a podpis</t>
  </si>
  <si>
    <t xml:space="preserve">Informace pro uchazeče k VŘ:</t>
  </si>
  <si>
    <t xml:space="preserve">a) veškeré položky na přípomoci, dopravu, montáž, montážní plochy atd. jsou zahrnuty do jednotlivých jednotkových cen. </t>
  </si>
  <si>
    <t xml:space="preserve">b) součásti prací jsou veškeré zkoušky, potřebná měření, inspekce, uvedení zařízení do provozu, zaškolení obsluhy, provozní řády, manuály a revize v českém jazyce. Za komplexní vyzkoušení se považuje bezporuchový provoz po dobu minimálně 96 hod. </t>
  </si>
  <si>
    <t xml:space="preserve">c) součástí dodávky je zpracování veškeré dokumentace zhotovitele (např. dílenská dokumentace) a dokumentace skutečného provedení. </t>
  </si>
  <si>
    <t xml:space="preserve">d) součástí dodávky je kompletní dokladová část díla nutná k získání kolaudačního souhlasu stavby. </t>
  </si>
  <si>
    <t xml:space="preserve">e) v rozsahu prací zhotovitele jsou rovněž jakékoliv prvky, zařízení, práce a pomocné materiály, neuvedené v tomto soupisu výkonů, které jsou ale nezbytně nutné k dodání, instalaci, dokončení a provozování díla, včetně ztratného a prořezů. </t>
  </si>
  <si>
    <t xml:space="preserve">f) součástí dodávky jsou veškerá geodetická měření jako například vytyčení konstrukcí, kontrolní měření, zaměření skutečného stavu apod. </t>
  </si>
  <si>
    <t xml:space="preserve">g) součástí dodávky jsou i náklady na případná  opatření související s ochranou stávajících sítí, komunikací či staveb.  </t>
  </si>
  <si>
    <t xml:space="preserve">h) součástí jednotkových cen jsou i vícenáklady související s výstavbou v nepříznivém klimat. období, průběžný úklid staveniště a přilehlých komunikací, likvidaci odpadů, dočasná dopravní omezení atd. </t>
  </si>
  <si>
    <t xml:space="preserve">i)pokud se v dokumentaci vyskytují obchodní názvy, jedná se pouze o vymezení minimálních požadovaných standardů výrobku, technologie či materiálu a zadavatel připouští použití i jiného, kvalitativně či technologicky obdobného řešení.</t>
  </si>
  <si>
    <t xml:space="preserve">j) součástí dodávky jsou náklady spojené s povinným pojištěním stavebního díla či jeho části v rozsahu obchodních podmínek. </t>
  </si>
  <si>
    <t xml:space="preserve"> </t>
  </si>
  <si>
    <t xml:space="preserve">Nedílnou součástí výkazu výměr (slepého rozpočtu) je projektová dokumentace !!</t>
  </si>
  <si>
    <t xml:space="preserve">Zpracovatel nabídky  je povinen prověřit specifikace a výměry uvedené ve výkazu výměr. V případě zjištěných rozdílů má na tyto rozdíly upozornit ve lhůtě pro podání nabídek prostřednictvím žádosti o dodatečné informace k zadávacím podmínkám.</t>
  </si>
  <si>
    <t xml:space="preserve">Vedlejší a ostatní rozpočtové náklady</t>
  </si>
  <si>
    <t xml:space="preserve">Vedlejší rozpočtové náklady VRN</t>
  </si>
  <si>
    <t xml:space="preserve">Doplňkové náklady DN</t>
  </si>
  <si>
    <t xml:space="preserve">Kč</t>
  </si>
  <si>
    <t xml:space="preserve">%</t>
  </si>
  <si>
    <t xml:space="preserve">Základna</t>
  </si>
  <si>
    <t xml:space="preserve">Celkem DN</t>
  </si>
  <si>
    <t xml:space="preserve">Náklady na umístění stavby (NUS)</t>
  </si>
  <si>
    <t xml:space="preserve">Zařízení staveniště</t>
  </si>
  <si>
    <t xml:space="preserve">Mimostav. doprava</t>
  </si>
  <si>
    <t xml:space="preserve">Územní vlivy</t>
  </si>
  <si>
    <t xml:space="preserve">Provozní vlivy</t>
  </si>
  <si>
    <t xml:space="preserve">Ostatní</t>
  </si>
  <si>
    <t xml:space="preserve">NUS z rozpočtu</t>
  </si>
  <si>
    <t xml:space="preserve">Celkem NUS</t>
  </si>
  <si>
    <t xml:space="preserve">Celkem VRN</t>
  </si>
  <si>
    <t xml:space="preserve">Ostatní rozpočtové náklady ORN</t>
  </si>
  <si>
    <t xml:space="preserve">Ostatní rozpočtové náklady (ORN)</t>
  </si>
  <si>
    <t xml:space="preserve">Celkem ORN</t>
  </si>
  <si>
    <t xml:space="preserve">Soupis prací a dodávek  rekapitulace objektů celkem</t>
  </si>
  <si>
    <t xml:space="preserve">Doba výstavby:</t>
  </si>
  <si>
    <t xml:space="preserve">Zpracováno dne:</t>
  </si>
  <si>
    <t xml:space="preserve"> </t>
  </si>
  <si>
    <t xml:space="preserve">Náklady (Kč)</t>
  </si>
  <si>
    <t xml:space="preserve">Hmotnost (t)</t>
  </si>
  <si>
    <t xml:space="preserve">Objekt</t>
  </si>
  <si>
    <t xml:space="preserve">Zkrácený popis</t>
  </si>
  <si>
    <t xml:space="preserve">Dodávka</t>
  </si>
  <si>
    <t xml:space="preserve">Celkem</t>
  </si>
  <si>
    <t xml:space="preserve">SO01.10</t>
  </si>
  <si>
    <t xml:space="preserve">Přípravné a bourací práce</t>
  </si>
  <si>
    <t xml:space="preserve">F</t>
  </si>
  <si>
    <t xml:space="preserve">SO01.11</t>
  </si>
  <si>
    <t xml:space="preserve">Stavební úpravy zpevněných ploch</t>
  </si>
  <si>
    <t xml:space="preserve">SO01.12</t>
  </si>
  <si>
    <t xml:space="preserve">Řešení zeleně a  terénní úpravy</t>
  </si>
  <si>
    <t xml:space="preserve">SO01.13</t>
  </si>
  <si>
    <t xml:space="preserve">Mobiliář</t>
  </si>
  <si>
    <t xml:space="preserve">VORN</t>
  </si>
  <si>
    <t xml:space="preserve">Celkem:</t>
  </si>
  <si>
    <t xml:space="preserve">Soupis prací a dodávek – Stavební rozpočet</t>
  </si>
  <si>
    <t xml:space="preserve">Přeměna sídlištních ploch – II. Etapa _ Fontána Jablko</t>
  </si>
  <si>
    <t xml:space="preserve">Městská část Praha 12, Generála Šišky 2375/6, 143</t>
  </si>
  <si>
    <t xml:space="preserve">Stavební úpravy veřejného prostranství _Fontána Jablko</t>
  </si>
  <si>
    <t xml:space="preserve">HUA HUA ARCHITECTS s.r.o., Porážka 459/2, 602 00 Brno</t>
  </si>
  <si>
    <t xml:space="preserve">Praha (554782),Modřany (728616), par.č. 4400/448</t>
  </si>
  <si>
    <t xml:space="preserve">8225733</t>
  </si>
  <si>
    <t xml:space="preserve">08.01.2026</t>
  </si>
  <si>
    <t xml:space="preserve">Bohuslav Hemala</t>
  </si>
  <si>
    <t xml:space="preserve">Č</t>
  </si>
  <si>
    <t xml:space="preserve">Kód</t>
  </si>
  <si>
    <t xml:space="preserve">MJ</t>
  </si>
  <si>
    <t xml:space="preserve">Množství</t>
  </si>
  <si>
    <t xml:space="preserve">Cena/MJ</t>
  </si>
  <si>
    <t xml:space="preserve">Cenová</t>
  </si>
  <si>
    <t xml:space="preserve">ISWORK</t>
  </si>
  <si>
    <t xml:space="preserve">GROUPCODE</t>
  </si>
  <si>
    <t xml:space="preserve">VATTAX</t>
  </si>
  <si>
    <t xml:space="preserve">Rozměry</t>
  </si>
  <si>
    <t xml:space="preserve">(Kč)</t>
  </si>
  <si>
    <t xml:space="preserve">Jednot.</t>
  </si>
  <si>
    <t xml:space="preserve">soustava</t>
  </si>
  <si>
    <t xml:space="preserve">Přesuny</t>
  </si>
  <si>
    <t xml:space="preserve">Typ skupiny</t>
  </si>
  <si>
    <t xml:space="preserve">HSV mat</t>
  </si>
  <si>
    <t xml:space="preserve">HSV prac</t>
  </si>
  <si>
    <t xml:space="preserve">PSV mat</t>
  </si>
  <si>
    <t xml:space="preserve">PSV prac</t>
  </si>
  <si>
    <t xml:space="preserve">Mont mat</t>
  </si>
  <si>
    <t xml:space="preserve">Mont prac</t>
  </si>
  <si>
    <t xml:space="preserve">Ostatní mat.</t>
  </si>
  <si>
    <t xml:space="preserve">MAT</t>
  </si>
  <si>
    <t xml:space="preserve">WORK</t>
  </si>
  <si>
    <t xml:space="preserve">CELK</t>
  </si>
  <si>
    <t xml:space="preserve">11</t>
  </si>
  <si>
    <t xml:space="preserve">Přípravné a přidružené práce</t>
  </si>
  <si>
    <t xml:space="preserve">1</t>
  </si>
  <si>
    <t xml:space="preserve">113204111R00</t>
  </si>
  <si>
    <t xml:space="preserve">Vytrhání obrubníků zahradních(poz.1)</t>
  </si>
  <si>
    <t xml:space="preserve">m</t>
  </si>
  <si>
    <t xml:space="preserve">RTS II / 2025</t>
  </si>
  <si>
    <t xml:space="preserve">11_</t>
  </si>
  <si>
    <t xml:space="preserve">SO01.10_1_</t>
  </si>
  <si>
    <t xml:space="preserve">SO01.10_</t>
  </si>
  <si>
    <t xml:space="preserve">P</t>
  </si>
  <si>
    <t xml:space="preserve">2</t>
  </si>
  <si>
    <t xml:space="preserve">900      R02</t>
  </si>
  <si>
    <t xml:space="preserve">Ostranění odpadkových košů(1ks) do suti_dřevo,ocel,plast viz.PD</t>
  </si>
  <si>
    <t xml:space="preserve">h</t>
  </si>
  <si>
    <t xml:space="preserve">3</t>
  </si>
  <si>
    <t xml:space="preserve">Ostranění parkových laviček do suti_dřevo,ocel(5ks) viz.PD</t>
  </si>
  <si>
    <t xml:space="preserve">4</t>
  </si>
  <si>
    <t xml:space="preserve">113108405R00</t>
  </si>
  <si>
    <t xml:space="preserve">ZP1_Odstranění asfaltové vrstvy pl.nad 50 m2, tl. do 5cm viz.PD</t>
  </si>
  <si>
    <t xml:space="preserve">m2</t>
  </si>
  <si>
    <t xml:space="preserve">5</t>
  </si>
  <si>
    <t xml:space="preserve">113109305R00</t>
  </si>
  <si>
    <t xml:space="preserve">Odstranění podkladu pl. 50 m2, bet.prostý tl.5 cm</t>
  </si>
  <si>
    <t xml:space="preserve">6</t>
  </si>
  <si>
    <t xml:space="preserve">216903111R00</t>
  </si>
  <si>
    <t xml:space="preserve">Otryskání ploch pískem FP, stěn betonové stěny viz.PD</t>
  </si>
  <si>
    <t xml:space="preserve">7</t>
  </si>
  <si>
    <t xml:space="preserve">58156051</t>
  </si>
  <si>
    <t xml:space="preserve">Materiál tryskací  - pro venkovní pískování, bal. 1050 kg</t>
  </si>
  <si>
    <t xml:space="preserve">t</t>
  </si>
  <si>
    <t xml:space="preserve">M</t>
  </si>
  <si>
    <t xml:space="preserve">8</t>
  </si>
  <si>
    <t xml:space="preserve">999281105R00</t>
  </si>
  <si>
    <t xml:space="preserve">Přesun hmot pro opravy a údržbu do výšky 6 m</t>
  </si>
  <si>
    <t xml:space="preserve">96</t>
  </si>
  <si>
    <t xml:space="preserve">Bourání konstrukcí</t>
  </si>
  <si>
    <t xml:space="preserve">9</t>
  </si>
  <si>
    <t xml:space="preserve">961044111R00</t>
  </si>
  <si>
    <t xml:space="preserve">Bourání základů z betonu prostého</t>
  </si>
  <si>
    <t xml:space="preserve">m3</t>
  </si>
  <si>
    <t xml:space="preserve">96_</t>
  </si>
  <si>
    <t xml:space="preserve">SO01.10_9_</t>
  </si>
  <si>
    <t xml:space="preserve">10</t>
  </si>
  <si>
    <t xml:space="preserve">961100015RA0</t>
  </si>
  <si>
    <t xml:space="preserve">Bourání základů z betonu prostého_patek pro herní prvky a lavičky, včetně kotev nebo závrtů</t>
  </si>
  <si>
    <t xml:space="preserve">962032254R00</t>
  </si>
  <si>
    <t xml:space="preserve">Bourání zdiva z cihel cementových na MC_z vápenopískových cihel včetně základku</t>
  </si>
  <si>
    <t xml:space="preserve">97</t>
  </si>
  <si>
    <t xml:space="preserve">Prorážení otvorů a ostatní bourací práce</t>
  </si>
  <si>
    <t xml:space="preserve">12</t>
  </si>
  <si>
    <t xml:space="preserve">971042131R00</t>
  </si>
  <si>
    <t xml:space="preserve">Vybourání otvorů v asfatové 30-50mm a betonové podlaze 50mm  d = 4 cm, tl. 10 cm cca 3ks/m2 viz.PD</t>
  </si>
  <si>
    <t xml:space="preserve">kus</t>
  </si>
  <si>
    <t xml:space="preserve">97_</t>
  </si>
  <si>
    <t xml:space="preserve">S</t>
  </si>
  <si>
    <t xml:space="preserve">Přesuny sutí</t>
  </si>
  <si>
    <t xml:space="preserve">13</t>
  </si>
  <si>
    <t xml:space="preserve">979082111R00</t>
  </si>
  <si>
    <t xml:space="preserve">Vnitrostaveništní doprava suti do 10 m</t>
  </si>
  <si>
    <t xml:space="preserve">S_</t>
  </si>
  <si>
    <t xml:space="preserve">14</t>
  </si>
  <si>
    <t xml:space="preserve">979082121R00</t>
  </si>
  <si>
    <t xml:space="preserve">Příplatek k vnitrost. dopravě suti za dalších 5 m</t>
  </si>
  <si>
    <t xml:space="preserve">15</t>
  </si>
  <si>
    <t xml:space="preserve">979094211R00</t>
  </si>
  <si>
    <t xml:space="preserve">Nakládání nebo překládání vybourané suti</t>
  </si>
  <si>
    <t xml:space="preserve">16</t>
  </si>
  <si>
    <t xml:space="preserve">979081111R00</t>
  </si>
  <si>
    <t xml:space="preserve">Odvoz suti a vybour. hmot na skládku do 1 km</t>
  </si>
  <si>
    <t xml:space="preserve">17</t>
  </si>
  <si>
    <t xml:space="preserve">979081121R00</t>
  </si>
  <si>
    <t xml:space="preserve">Příplatek k odvozu za každý další 1 km</t>
  </si>
  <si>
    <t xml:space="preserve">18</t>
  </si>
  <si>
    <t xml:space="preserve">979990161R00</t>
  </si>
  <si>
    <t xml:space="preserve">Poplatek za uložení - dřevo, skupina odpadu 170201</t>
  </si>
  <si>
    <t xml:space="preserve">19</t>
  </si>
  <si>
    <t xml:space="preserve">979999973R00</t>
  </si>
  <si>
    <t xml:space="preserve">Poplatek za uložení nebo recyklaci, zemina a kamení_písek a staré štěrky</t>
  </si>
  <si>
    <t xml:space="preserve">20</t>
  </si>
  <si>
    <t xml:space="preserve">979999997R00</t>
  </si>
  <si>
    <t xml:space="preserve">Poplatek za recyklaci směsi suti betonu, cihel, tašek a keram.výrobků, kusovost do 1600 cm2 (170107)nebo skládku</t>
  </si>
  <si>
    <t xml:space="preserve">21</t>
  </si>
  <si>
    <t xml:space="preserve">979999995R00</t>
  </si>
  <si>
    <t xml:space="preserve">Poplatek za recyklaci asfaltu, kusovost do 1600 cm2, (skup.170302)</t>
  </si>
  <si>
    <t xml:space="preserve">Hloubené vykopávky</t>
  </si>
  <si>
    <t xml:space="preserve">22</t>
  </si>
  <si>
    <t xml:space="preserve">122101101R00</t>
  </si>
  <si>
    <t xml:space="preserve">Odkopávky nezapažené v hor. 2 do 100 m3_pro dlažby</t>
  </si>
  <si>
    <t xml:space="preserve">13_</t>
  </si>
  <si>
    <t xml:space="preserve">SO01.11_1_</t>
  </si>
  <si>
    <t xml:space="preserve">SO01.11_</t>
  </si>
  <si>
    <t xml:space="preserve">23</t>
  </si>
  <si>
    <t xml:space="preserve">132101210R00</t>
  </si>
  <si>
    <t xml:space="preserve">Hloubení rýh š.do 200 cm hor.2 do 50 m3, STROJNĚ_nášlapy_ část v zeleni</t>
  </si>
  <si>
    <t xml:space="preserve">24</t>
  </si>
  <si>
    <t xml:space="preserve">139601102R00</t>
  </si>
  <si>
    <t xml:space="preserve">Ruční výkop jam, rýh a šachet v hornině tř. 3_obruby kolem dlažby_mimo bour.plochy</t>
  </si>
  <si>
    <t xml:space="preserve">25</t>
  </si>
  <si>
    <t xml:space="preserve">139601101R00</t>
  </si>
  <si>
    <t xml:space="preserve">Ruční výkop jam, rýh a šachet v hornině tř. 1 - 2_obruby záhonů</t>
  </si>
  <si>
    <t xml:space="preserve">26</t>
  </si>
  <si>
    <t xml:space="preserve">162201102R00</t>
  </si>
  <si>
    <t xml:space="preserve">Vodorovné přemístění výkopku z hor.1-4 do 50 m na plochu po odstranění bet.dlažby</t>
  </si>
  <si>
    <t xml:space="preserve">27</t>
  </si>
  <si>
    <t xml:space="preserve">162201203R00</t>
  </si>
  <si>
    <t xml:space="preserve">Vodorovné přemístění výkopku horniny tř. 1 - 4, do 10 m, kolečkem</t>
  </si>
  <si>
    <t xml:space="preserve">28</t>
  </si>
  <si>
    <t xml:space="preserve">162201210R00</t>
  </si>
  <si>
    <t xml:space="preserve">Příplatek za každých dalších 10 m přemístění výkopku z hor. tř. 1 - 4 kolečkem</t>
  </si>
  <si>
    <t xml:space="preserve">29</t>
  </si>
  <si>
    <t xml:space="preserve">171206111R00</t>
  </si>
  <si>
    <t xml:space="preserve">Uložení zemin do násypů předeps. tvarů s urovnáním</t>
  </si>
  <si>
    <t xml:space="preserve">30</t>
  </si>
  <si>
    <t xml:space="preserve">162301102R00</t>
  </si>
  <si>
    <t xml:space="preserve">Vodorovné přemístění výkopku z hor.1-4 do 1000 m_dovoz zeminy pro výsev trávin</t>
  </si>
  <si>
    <t xml:space="preserve">31</t>
  </si>
  <si>
    <t xml:space="preserve">162701109R00</t>
  </si>
  <si>
    <t xml:space="preserve">Příplatek k vod. přemístění hor.1-4 za další 1 km</t>
  </si>
  <si>
    <t xml:space="preserve">32</t>
  </si>
  <si>
    <t xml:space="preserve">Vodorovné přemístění výkopku z hor.1-4 do 1000 m_odvoz nevhodné zeminy na skládku</t>
  </si>
  <si>
    <t xml:space="preserve">33</t>
  </si>
  <si>
    <t xml:space="preserve">34</t>
  </si>
  <si>
    <t xml:space="preserve">199000002R00</t>
  </si>
  <si>
    <t xml:space="preserve">Poplatek za odběr horniny tř. 1- 4 k rekultivaci, č. dle katal. odpadů 17 05 04</t>
  </si>
  <si>
    <t xml:space="preserve">59</t>
  </si>
  <si>
    <t xml:space="preserve">Kryty pozemních komunikací, letišť a ploch dlážděných (předlažby)</t>
  </si>
  <si>
    <t xml:space="preserve">35</t>
  </si>
  <si>
    <t xml:space="preserve">181101102R00</t>
  </si>
  <si>
    <t xml:space="preserve">Úprava pláně v zářezech v hor. 1-4, se zhutněním hutnění 30 MPa viz.PD</t>
  </si>
  <si>
    <t xml:space="preserve">59_</t>
  </si>
  <si>
    <t xml:space="preserve">SO01.11_5_</t>
  </si>
  <si>
    <t xml:space="preserve">36</t>
  </si>
  <si>
    <t xml:space="preserve">596215021R00</t>
  </si>
  <si>
    <t xml:space="preserve">Kladení zámkové dlažby tl. 6 cm do drtě tl. 4 cm</t>
  </si>
  <si>
    <t xml:space="preserve">37</t>
  </si>
  <si>
    <t xml:space="preserve">59245308</t>
  </si>
  <si>
    <t xml:space="preserve">Dlažba zámková betonová  200 x 100 x 60 mm, přírodní_Dvouvrstvá vibrolisovaná dlažba opatřena impregnací.  viz:PD</t>
  </si>
  <si>
    <t xml:space="preserve">38</t>
  </si>
  <si>
    <t xml:space="preserve">564861111RT2</t>
  </si>
  <si>
    <t xml:space="preserve">Podklad ze štěrkodrti po zhutnění tloušťky 20 cm,štěrkodrť frakce 0-32 mm viz.PD</t>
  </si>
  <si>
    <t xml:space="preserve">39</t>
  </si>
  <si>
    <t xml:space="preserve">596291111R00</t>
  </si>
  <si>
    <t xml:space="preserve">Řezání zámkové dlažby tl. 60 mm</t>
  </si>
  <si>
    <t xml:space="preserve">40</t>
  </si>
  <si>
    <t xml:space="preserve">211561111R00</t>
  </si>
  <si>
    <t xml:space="preserve">D+M_Výplň odvodňovacích žeber kam. hrubě drcen. max.do 16 mm_podkladní vrstva ve spádu kolem fontány pod kam.dlažbu viz.PD</t>
  </si>
  <si>
    <t xml:space="preserve">41</t>
  </si>
  <si>
    <t xml:space="preserve">591211211R00</t>
  </si>
  <si>
    <t xml:space="preserve">Skl.D_Kladení dlažby drobné kostky, lože z drti tl. 4-5 cm fr.4/8 viz.PD</t>
  </si>
  <si>
    <t xml:space="preserve">42</t>
  </si>
  <si>
    <t xml:space="preserve">58380056</t>
  </si>
  <si>
    <t xml:space="preserve">Mozaika dlažební žulová štípaná 40 až 60 mm</t>
  </si>
  <si>
    <t xml:space="preserve">43</t>
  </si>
  <si>
    <t xml:space="preserve">596491113R00</t>
  </si>
  <si>
    <t xml:space="preserve">Řezání kamenné dlažby tl. do 60 mm</t>
  </si>
  <si>
    <t xml:space="preserve">44</t>
  </si>
  <si>
    <t xml:space="preserve">953171024R00</t>
  </si>
  <si>
    <t xml:space="preserve">Osazování poklopů  ocelových viz.PD</t>
  </si>
  <si>
    <t xml:space="preserve">45</t>
  </si>
  <si>
    <t xml:space="preserve">553400405</t>
  </si>
  <si>
    <t xml:space="preserve">Poklop šachtový ocel pro zadláždění 800 x 800 x 95 mm,nosnosti 12,5 tuny. viz.PD</t>
  </si>
  <si>
    <t xml:space="preserve">46</t>
  </si>
  <si>
    <t xml:space="preserve">916561111RT2</t>
  </si>
  <si>
    <t xml:space="preserve">Osazení záhon.obrubníků do lože z C 12/15 s opěrou,včetně obrubníku   100/5/20 cm viz.PD</t>
  </si>
  <si>
    <t xml:space="preserve">47</t>
  </si>
  <si>
    <t xml:space="preserve">274323411RT5</t>
  </si>
  <si>
    <t xml:space="preserve">Oběra a pod obrubu z ocele_obeton základových pasů vodostavební C 25/30_XF3 odolnost proti střídavému působení mrazu viz.PD</t>
  </si>
  <si>
    <t xml:space="preserve">48</t>
  </si>
  <si>
    <t xml:space="preserve">998223011R00</t>
  </si>
  <si>
    <t xml:space="preserve">Přesun hmot, pozemní komunikace, kryt dlážděný</t>
  </si>
  <si>
    <t xml:space="preserve">767</t>
  </si>
  <si>
    <t xml:space="preserve">Konstrukce doplňkové stavební (zámečnické)</t>
  </si>
  <si>
    <t xml:space="preserve">49</t>
  </si>
  <si>
    <t xml:space="preserve">767995104R00</t>
  </si>
  <si>
    <t xml:space="preserve">Obruba bet..plochy a záhonů_Výroba a montáž kov. atypických konstr. do 5 kg, včetně ochybů,sváru a pod.</t>
  </si>
  <si>
    <t xml:space="preserve">kg</t>
  </si>
  <si>
    <t xml:space="preserve">767_</t>
  </si>
  <si>
    <t xml:space="preserve">SO01.11_76_</t>
  </si>
  <si>
    <t xml:space="preserve">50</t>
  </si>
  <si>
    <t xml:space="preserve">55399999</t>
  </si>
  <si>
    <t xml:space="preserve">Ocelové výrobky - Tyč ocelová Pz kruhová jakost S235  D 8 mm</t>
  </si>
  <si>
    <t xml:space="preserve">51</t>
  </si>
  <si>
    <t xml:space="preserve">Ocelové výrobky -Tyč ocelová Pz plochá  150 x 5 mm</t>
  </si>
  <si>
    <t xml:space="preserve">52</t>
  </si>
  <si>
    <t xml:space="preserve">998767101R00</t>
  </si>
  <si>
    <t xml:space="preserve">Přesun hmot pro zámečnické konstrukce, v objektech výšky do 6 m</t>
  </si>
  <si>
    <t xml:space="preserve">90</t>
  </si>
  <si>
    <t xml:space="preserve">Hodinové zúčtovací sazby (HZS)</t>
  </si>
  <si>
    <t xml:space="preserve">53</t>
  </si>
  <si>
    <t xml:space="preserve">905      R01</t>
  </si>
  <si>
    <t xml:space="preserve">Revize provoz.souboru a st.obj.,elektroinstalace a pod. objektu kašny, včetně protokolu viz.PD</t>
  </si>
  <si>
    <t xml:space="preserve">90_</t>
  </si>
  <si>
    <t xml:space="preserve">SO01.11_9_</t>
  </si>
  <si>
    <t xml:space="preserve">54</t>
  </si>
  <si>
    <t xml:space="preserve">904      R01</t>
  </si>
  <si>
    <t xml:space="preserve">Oprava kašny _ odzimování,úklid a pod. před uvedením do provozu viz.PD</t>
  </si>
  <si>
    <t xml:space="preserve">91</t>
  </si>
  <si>
    <t xml:space="preserve">Doplňující konstrukce a práce na pozemních komunikacích a zpevněných plochách</t>
  </si>
  <si>
    <t xml:space="preserve">55</t>
  </si>
  <si>
    <t xml:space="preserve">564831111RT2</t>
  </si>
  <si>
    <t xml:space="preserve">Podklad ze štěrkodrti po zhutnění tloušťky 10 cm,štěrkodrť frakce 0-32 mm viz.PD</t>
  </si>
  <si>
    <t xml:space="preserve">91_</t>
  </si>
  <si>
    <t xml:space="preserve">56</t>
  </si>
  <si>
    <t xml:space="preserve">451504111R00</t>
  </si>
  <si>
    <t xml:space="preserve">Zřízení lože z kameniva pod dlažbu tl. do 100 mm</t>
  </si>
  <si>
    <t xml:space="preserve">57</t>
  </si>
  <si>
    <t xml:space="preserve">583424801</t>
  </si>
  <si>
    <t xml:space="preserve">Kamenivo drcené 4/8 viz.PD</t>
  </si>
  <si>
    <t xml:space="preserve">58</t>
  </si>
  <si>
    <t xml:space="preserve">917712111R00</t>
  </si>
  <si>
    <t xml:space="preserve">Osazení ležat. obrub. bet. bez opěr, lože z kamen.</t>
  </si>
  <si>
    <t xml:space="preserve">59217003</t>
  </si>
  <si>
    <t xml:space="preserve">Obrubník parkový betonový 80 x 250 x 1000 mm přírodní viz.PD</t>
  </si>
  <si>
    <t xml:space="preserve">60</t>
  </si>
  <si>
    <t xml:space="preserve">61</t>
  </si>
  <si>
    <t xml:space="preserve">184802211R00</t>
  </si>
  <si>
    <t xml:space="preserve">M_Chemické odplevelení před založením kultury nad 20 m2 postřikem na široko v rovině a svahu do 1:5  viz.PD</t>
  </si>
  <si>
    <t xml:space="preserve">SO01.12_1_</t>
  </si>
  <si>
    <t xml:space="preserve">SO01.12_</t>
  </si>
  <si>
    <t xml:space="preserve">62</t>
  </si>
  <si>
    <t xml:space="preserve">25234000.A</t>
  </si>
  <si>
    <t xml:space="preserve">D_Herbicid totální neselektivní   viz.PD</t>
  </si>
  <si>
    <t xml:space="preserve">l</t>
  </si>
  <si>
    <t xml:space="preserve">63</t>
  </si>
  <si>
    <t xml:space="preserve">111105111R00</t>
  </si>
  <si>
    <t xml:space="preserve">Odstranění stařiny přes 500 m2 s naložením a odvozem do 20 km v rovině nebo svahu do 1:5   viz.PD</t>
  </si>
  <si>
    <t xml:space="preserve">64</t>
  </si>
  <si>
    <t xml:space="preserve">111209111R00</t>
  </si>
  <si>
    <t xml:space="preserve">Likvidace vzniklé bio.hmoty_uložení na říz.skládku a pod._dle PD</t>
  </si>
  <si>
    <t xml:space="preserve">65</t>
  </si>
  <si>
    <t xml:space="preserve">182001111R00</t>
  </si>
  <si>
    <t xml:space="preserve">Plošná úprava terénu, nerovnosti do 10 cm v rovině_trávník  a záhon viz.PD</t>
  </si>
  <si>
    <t xml:space="preserve">66</t>
  </si>
  <si>
    <t xml:space="preserve">182001151R00</t>
  </si>
  <si>
    <t xml:space="preserve">Prokypření půdy rotavátorem viz.PD</t>
  </si>
  <si>
    <t xml:space="preserve">Povrchové úpravy terénu</t>
  </si>
  <si>
    <t xml:space="preserve">67</t>
  </si>
  <si>
    <t xml:space="preserve">183204116R00</t>
  </si>
  <si>
    <t xml:space="preserve">Výsadba_trvalky_Výsadba trvalek do připravené půdy  viz.PD</t>
  </si>
  <si>
    <t xml:space="preserve">18_</t>
  </si>
  <si>
    <t xml:space="preserve">68</t>
  </si>
  <si>
    <t xml:space="preserve">183101111R00</t>
  </si>
  <si>
    <t xml:space="preserve">Hloub. jamek bez výměny půdy do 0,01 m3, svah 1:5</t>
  </si>
  <si>
    <t xml:space="preserve">69</t>
  </si>
  <si>
    <t xml:space="preserve">184816111R00</t>
  </si>
  <si>
    <t xml:space="preserve">Hnojení sazenic průmysl. hnojivy do 0,25 kg k 1saz</t>
  </si>
  <si>
    <t xml:space="preserve">70</t>
  </si>
  <si>
    <t xml:space="preserve">25191161</t>
  </si>
  <si>
    <t xml:space="preserve">Hnojivo s postupným uvolňováním _tablety1 tableta=2g  (1ks=200tablet) viz.PD</t>
  </si>
  <si>
    <t xml:space="preserve">71</t>
  </si>
  <si>
    <t xml:space="preserve">184921093R00</t>
  </si>
  <si>
    <t xml:space="preserve">Mulčování rostlin tl mulče do 0,07 m v rovině a svahu do 1:5  viz.PD</t>
  </si>
  <si>
    <t xml:space="preserve">72</t>
  </si>
  <si>
    <t xml:space="preserve">Kamenivo drcené 4/8 _Ostrohranný štěrk fr. 4/8 mm_pro rozprostření viz.PD</t>
  </si>
  <si>
    <t xml:space="preserve">73</t>
  </si>
  <si>
    <t xml:space="preserve">Plošná úprava terénu, nerovnosti do 10 cm v rovině_vrstva štěrku pro záhony viz.PD</t>
  </si>
  <si>
    <t xml:space="preserve">74</t>
  </si>
  <si>
    <t xml:space="preserve">566111211R00</t>
  </si>
  <si>
    <t xml:space="preserve">Příplatek za rozprostření kameniva na plochu</t>
  </si>
  <si>
    <t xml:space="preserve">75</t>
  </si>
  <si>
    <t xml:space="preserve">185804312R00</t>
  </si>
  <si>
    <t xml:space="preserve">Zalití rostlin vodou plocha nad 20 m2 20l/m2</t>
  </si>
  <si>
    <t xml:space="preserve">76</t>
  </si>
  <si>
    <t xml:space="preserve">185851111R00</t>
  </si>
  <si>
    <t xml:space="preserve">Dovoz vody pro zálivku rostlin do 6 km</t>
  </si>
  <si>
    <t xml:space="preserve">77</t>
  </si>
  <si>
    <t xml:space="preserve">026100_p18</t>
  </si>
  <si>
    <t xml:space="preserve">Z1_D_Carex buchananii 'Red Rooster' viz.PD</t>
  </si>
  <si>
    <t xml:space="preserve">78</t>
  </si>
  <si>
    <t xml:space="preserve">026100_p19</t>
  </si>
  <si>
    <t xml:space="preserve">D_Aster amellus 'Sternkugel' viz.PD</t>
  </si>
  <si>
    <t xml:space="preserve">79</t>
  </si>
  <si>
    <t xml:space="preserve">026100_p20</t>
  </si>
  <si>
    <t xml:space="preserve">D_Sedum telephium 'Herbsfreude' viz.PD</t>
  </si>
  <si>
    <t xml:space="preserve">80</t>
  </si>
  <si>
    <t xml:space="preserve">026100_p21</t>
  </si>
  <si>
    <t xml:space="preserve">D_Salvia nemorosa 'Caradonna'  viz.PD</t>
  </si>
  <si>
    <t xml:space="preserve">81</t>
  </si>
  <si>
    <t xml:space="preserve">026100_p23</t>
  </si>
  <si>
    <t xml:space="preserve">D_Calamintha nepeta 'Triumphator'  viz.PD</t>
  </si>
  <si>
    <t xml:space="preserve">82</t>
  </si>
  <si>
    <t xml:space="preserve">026100_p24</t>
  </si>
  <si>
    <t xml:space="preserve">D_Heuchera sanquinea viz.PD</t>
  </si>
  <si>
    <t xml:space="preserve">83</t>
  </si>
  <si>
    <t xml:space="preserve">026100_p25</t>
  </si>
  <si>
    <t xml:space="preserve">D_Origanum vulgare 'Compactum' viz.PD</t>
  </si>
  <si>
    <t xml:space="preserve">84</t>
  </si>
  <si>
    <t xml:space="preserve">026100_p26</t>
  </si>
  <si>
    <t xml:space="preserve">D_Salvia nemorosa 'Ostfriesland' viz.PD</t>
  </si>
  <si>
    <t xml:space="preserve">85</t>
  </si>
  <si>
    <t xml:space="preserve">026100_p27</t>
  </si>
  <si>
    <t xml:space="preserve">Z2_D_Molinia caerulea 'Paul Peterson' viz.PD</t>
  </si>
  <si>
    <t xml:space="preserve">86</t>
  </si>
  <si>
    <t xml:space="preserve">026100_p28</t>
  </si>
  <si>
    <t xml:space="preserve">D_Echinacea purpurea 'Magnus' viz.PD</t>
  </si>
  <si>
    <t xml:space="preserve">87</t>
  </si>
  <si>
    <t xml:space="preserve">026100_p29</t>
  </si>
  <si>
    <t xml:space="preserve">D_Agastache 'Blue Fortune' viz.PD</t>
  </si>
  <si>
    <t xml:space="preserve">88</t>
  </si>
  <si>
    <t xml:space="preserve">026100_p30</t>
  </si>
  <si>
    <t xml:space="preserve">D_Calamagrostis × acutiflora 'Karl Foerster'    viz.PD</t>
  </si>
  <si>
    <t xml:space="preserve">89</t>
  </si>
  <si>
    <t xml:space="preserve">026100_p31</t>
  </si>
  <si>
    <t xml:space="preserve">D_Panicum virgatum 'Shenandoah' viz.PD</t>
  </si>
  <si>
    <t xml:space="preserve">026100_p32</t>
  </si>
  <si>
    <t xml:space="preserve">D_Perovskia atriplicifolia ‘Blue Spire’ viz.PD</t>
  </si>
  <si>
    <t xml:space="preserve">026100_p33</t>
  </si>
  <si>
    <t xml:space="preserve">D_Carex buchananii 'Red Rooster' viz.PD</t>
  </si>
  <si>
    <t xml:space="preserve">92</t>
  </si>
  <si>
    <t xml:space="preserve">026100_p34</t>
  </si>
  <si>
    <t xml:space="preserve">D_Aster divarigatus 'Tradescant' viz.PD</t>
  </si>
  <si>
    <t xml:space="preserve">93</t>
  </si>
  <si>
    <t xml:space="preserve">026100_p35</t>
  </si>
  <si>
    <t xml:space="preserve">D_Sedum telephium 'Herbsfreude'  viz.PD</t>
  </si>
  <si>
    <t xml:space="preserve">94</t>
  </si>
  <si>
    <t xml:space="preserve">026100_p36</t>
  </si>
  <si>
    <t xml:space="preserve">D_Knautia macedonica 'Red Knight'  viz.PD</t>
  </si>
  <si>
    <t xml:space="preserve">95</t>
  </si>
  <si>
    <t xml:space="preserve">026100_p37</t>
  </si>
  <si>
    <t xml:space="preserve">D_Verbena bonariensis viz.PD</t>
  </si>
  <si>
    <t xml:space="preserve">026100_p39</t>
  </si>
  <si>
    <t xml:space="preserve">Hloubení jamek bez výměny půdy zeminy tř 1 až 4 pro cibuloviny v rovině a svahu do 1:5 viz.PD</t>
  </si>
  <si>
    <t xml:space="preserve">98</t>
  </si>
  <si>
    <t xml:space="preserve">183204113R00</t>
  </si>
  <si>
    <t xml:space="preserve">Výsadba cibulí nebo hlíz</t>
  </si>
  <si>
    <t xml:space="preserve">99</t>
  </si>
  <si>
    <t xml:space="preserve">026100_p49</t>
  </si>
  <si>
    <t xml:space="preserve">Z1_Tulipa fosteriana 'Albert Heijn' (hnízdo po 5 ks) viz.PD</t>
  </si>
  <si>
    <t xml:space="preserve">100</t>
  </si>
  <si>
    <t xml:space="preserve">026100_p50</t>
  </si>
  <si>
    <t xml:space="preserve">Narcissus poeticus var. Recurvus (hnízdo po 5 ks) viz.PD</t>
  </si>
  <si>
    <t xml:space="preserve">101</t>
  </si>
  <si>
    <t xml:space="preserve">026100_p51</t>
  </si>
  <si>
    <t xml:space="preserve">Hyacinthoides hispanica 'Excelsior' (hnízdo po 5 ks)  viz.PD</t>
  </si>
  <si>
    <t xml:space="preserve">102</t>
  </si>
  <si>
    <t xml:space="preserve">026100_p52</t>
  </si>
  <si>
    <t xml:space="preserve">Z2_D_Allium atropurpureum  viz.PD</t>
  </si>
  <si>
    <t xml:space="preserve">103</t>
  </si>
  <si>
    <t xml:space="preserve">026100_p53</t>
  </si>
  <si>
    <t xml:space="preserve">Tulipa fosteriana 'Albert Heijn' (hnízdo po 5 ks)  viz.PD</t>
  </si>
  <si>
    <t xml:space="preserve">104</t>
  </si>
  <si>
    <t xml:space="preserve">026100_p54</t>
  </si>
  <si>
    <t xml:space="preserve">Camassia quamash (hnízdo po 3 ks)  viz.PD</t>
  </si>
  <si>
    <t xml:space="preserve">105</t>
  </si>
  <si>
    <t xml:space="preserve">026100_p55</t>
  </si>
  <si>
    <t xml:space="preserve">106</t>
  </si>
  <si>
    <t xml:space="preserve">026100_p56</t>
  </si>
  <si>
    <t xml:space="preserve">Hyacinthoides hispanica 'Excelsior' (hnízdo po 5 ks) viz.PD</t>
  </si>
  <si>
    <t xml:space="preserve">107</t>
  </si>
  <si>
    <t xml:space="preserve">180402111R00</t>
  </si>
  <si>
    <t xml:space="preserve">Založení trávníku parkového výsevem v rovině</t>
  </si>
  <si>
    <t xml:space="preserve">108</t>
  </si>
  <si>
    <t xml:space="preserve">00572410</t>
  </si>
  <si>
    <t xml:space="preserve">Směs travní parková II. mírná zátěž</t>
  </si>
  <si>
    <t xml:space="preserve">109</t>
  </si>
  <si>
    <t xml:space="preserve">183403151R00</t>
  </si>
  <si>
    <t xml:space="preserve">Obdělání půdy smykováním, v rovině viz.PD</t>
  </si>
  <si>
    <t xml:space="preserve">110</t>
  </si>
  <si>
    <t xml:space="preserve">183403153R00</t>
  </si>
  <si>
    <t xml:space="preserve">Obdělání půdy hrabáním, v rovině viz.PD</t>
  </si>
  <si>
    <t xml:space="preserve">111</t>
  </si>
  <si>
    <t xml:space="preserve">183403161R00</t>
  </si>
  <si>
    <t xml:space="preserve">Obdělání půdy válením, v rovině</t>
  </si>
  <si>
    <t xml:space="preserve">112</t>
  </si>
  <si>
    <t xml:space="preserve">113</t>
  </si>
  <si>
    <t xml:space="preserve">114</t>
  </si>
  <si>
    <t xml:space="preserve">115</t>
  </si>
  <si>
    <t xml:space="preserve">116</t>
  </si>
  <si>
    <t xml:space="preserve">181301105R00</t>
  </si>
  <si>
    <t xml:space="preserve">Rozprostření ornice, rovina, tl. 25-30 cm,do 500m2_mino záhony</t>
  </si>
  <si>
    <t xml:space="preserve">117</t>
  </si>
  <si>
    <t xml:space="preserve">5832012</t>
  </si>
  <si>
    <t xml:space="preserve">Zemina zahradní, tříděná 0/8_Vhodná k úpravě zahrad, parků_doplnění viz.PD</t>
  </si>
  <si>
    <t xml:space="preserve">118</t>
  </si>
  <si>
    <t xml:space="preserve">998231311R00</t>
  </si>
  <si>
    <t xml:space="preserve">Přesun hmot pro sadovnické a krajin. úpravy do 5km</t>
  </si>
  <si>
    <t xml:space="preserve">189VD</t>
  </si>
  <si>
    <t xml:space="preserve">NÁSLEDNÁ PÉČE - 1rok</t>
  </si>
  <si>
    <t xml:space="preserve">119</t>
  </si>
  <si>
    <t xml:space="preserve">Zalití rostlin vodou plocha přes 20 m2 - záhony - 5x  20l/m2 viz.PD</t>
  </si>
  <si>
    <t xml:space="preserve">189VD_</t>
  </si>
  <si>
    <t xml:space="preserve">120</t>
  </si>
  <si>
    <t xml:space="preserve">Zalití rostlin vodou plocha přes 20 m2 - parkový trávník - 12x/první rok, 30l/m2</t>
  </si>
  <si>
    <t xml:space="preserve">121</t>
  </si>
  <si>
    <t xml:space="preserve">Dovoz vody pro zálivku rostlin do 1 km</t>
  </si>
  <si>
    <t xml:space="preserve">122</t>
  </si>
  <si>
    <t xml:space="preserve">185804211R00</t>
  </si>
  <si>
    <t xml:space="preserve">Řez trvalek ve vegetačním období v rovině nebo ve svahu do 1:5 jarní řez, 2-krát viz.PD</t>
  </si>
  <si>
    <t xml:space="preserve">123</t>
  </si>
  <si>
    <t xml:space="preserve">185804511R00</t>
  </si>
  <si>
    <t xml:space="preserve">Odplevelení záhonu květin v rovině a svahu do 1:5, 2-krát viz.PD</t>
  </si>
  <si>
    <t xml:space="preserve">124</t>
  </si>
  <si>
    <t xml:space="preserve">185804252R00</t>
  </si>
  <si>
    <t xml:space="preserve">Odstranění odkvetlých a odumřelých částí trvalek s odklizením odpadu do 20 km, 2-krát viz.PD</t>
  </si>
  <si>
    <t xml:space="preserve">125</t>
  </si>
  <si>
    <t xml:space="preserve">183553821R00</t>
  </si>
  <si>
    <t xml:space="preserve">Pokosení trávníku parkového pl do 1000 m2 s odvozem do 20 km v rovině a svahu do 1:5, 5x</t>
  </si>
  <si>
    <t xml:space="preserve">ha</t>
  </si>
  <si>
    <t xml:space="preserve">126</t>
  </si>
  <si>
    <t xml:space="preserve">133201101R00</t>
  </si>
  <si>
    <t xml:space="preserve">Hloubení šachet v hor.3 do 100 m3</t>
  </si>
  <si>
    <t xml:space="preserve">SO01.13_1_</t>
  </si>
  <si>
    <t xml:space="preserve">SO01.13_</t>
  </si>
  <si>
    <t xml:space="preserve">127</t>
  </si>
  <si>
    <t xml:space="preserve">133201109R00</t>
  </si>
  <si>
    <t xml:space="preserve">Příplatek za lepivost - hloubení šachet v hor.3</t>
  </si>
  <si>
    <t xml:space="preserve">Přemístění výkopku</t>
  </si>
  <si>
    <t xml:space="preserve">128</t>
  </si>
  <si>
    <t xml:space="preserve">Vodorovné přemístění výkopku z hor.1-4 do 1000 m</t>
  </si>
  <si>
    <t xml:space="preserve">16_</t>
  </si>
  <si>
    <t xml:space="preserve">129</t>
  </si>
  <si>
    <t xml:space="preserve">130</t>
  </si>
  <si>
    <t xml:space="preserve">Poplatek za skládku horniny 1- 4, č. dle katal. odpadů 17 05 04</t>
  </si>
  <si>
    <t xml:space="preserve">Úprava podloží a základové spáry</t>
  </si>
  <si>
    <t xml:space="preserve">131</t>
  </si>
  <si>
    <t xml:space="preserve">Výplň odvodňovacích žeber kam. hrubě drcen. 16 mm</t>
  </si>
  <si>
    <t xml:space="preserve">21_</t>
  </si>
  <si>
    <t xml:space="preserve">SO01.13_2_</t>
  </si>
  <si>
    <t xml:space="preserve">Základy</t>
  </si>
  <si>
    <t xml:space="preserve">132</t>
  </si>
  <si>
    <t xml:space="preserve">278381521R00</t>
  </si>
  <si>
    <t xml:space="preserve">Základy pod mobiliář C12/15, viz.PD</t>
  </si>
  <si>
    <t xml:space="preserve">27_</t>
  </si>
  <si>
    <t xml:space="preserve">Různé kompletní konstrukce nedělitelné do stav. dílů</t>
  </si>
  <si>
    <t xml:space="preserve">133</t>
  </si>
  <si>
    <t xml:space="preserve">380932114R00</t>
  </si>
  <si>
    <t xml:space="preserve">Vlepení výztuže do D 10 mm do vrtu v betonu 2složkovou epoxidovou hmotou</t>
  </si>
  <si>
    <t xml:space="preserve">38_</t>
  </si>
  <si>
    <t xml:space="preserve">SO01.13_3_</t>
  </si>
  <si>
    <t xml:space="preserve">134</t>
  </si>
  <si>
    <t xml:space="preserve">380932115R00</t>
  </si>
  <si>
    <t xml:space="preserve">Vlepení výztuže D 12 mm do vrtu v betonu 2složkovou epoxidovou hmotou</t>
  </si>
  <si>
    <t xml:space="preserve">135</t>
  </si>
  <si>
    <t xml:space="preserve">311712117A</t>
  </si>
  <si>
    <t xml:space="preserve">Kotva ocelová _závitová tyč 10/200 galvanický pozink, matice a pod.viz.PD</t>
  </si>
  <si>
    <t xml:space="preserve">136</t>
  </si>
  <si>
    <t xml:space="preserve">311712117</t>
  </si>
  <si>
    <t xml:space="preserve">Kotva ocelová _závitová tyč 12/200 galvanický pozink, matice a pod.viz.PD</t>
  </si>
  <si>
    <t xml:space="preserve">137</t>
  </si>
  <si>
    <t xml:space="preserve">Přesun hmot pro zámečnické konstr., výšky do 6 m</t>
  </si>
  <si>
    <t xml:space="preserve">768VD</t>
  </si>
  <si>
    <t xml:space="preserve">138</t>
  </si>
  <si>
    <t xml:space="preserve">768-V05</t>
  </si>
  <si>
    <t xml:space="preserve">D+M V05_Oblouková lavička s opěrkami konkávně prohnut,Vnitřní poloměr 4 600 mm,Sedák šířky 510 mm, výška s opěrkou 375 mm,výška 750mm .viz.PD</t>
  </si>
  <si>
    <t xml:space="preserve">ks</t>
  </si>
  <si>
    <t xml:space="preserve">768VD_</t>
  </si>
  <si>
    <t xml:space="preserve">SO01.13_76_</t>
  </si>
  <si>
    <t xml:space="preserve">139</t>
  </si>
  <si>
    <t xml:space="preserve">768-V11</t>
  </si>
  <si>
    <t xml:space="preserve">D+M V11_Samostatný koš se stříškou_O400 mm, v. 940 mm / 50 l._Ocelová konstrukce je opatřena ochrannou vrstvou zinku a práš. vypalovacím lak,viz.PD</t>
  </si>
  <si>
    <t xml:space="preserve">140</t>
  </si>
  <si>
    <t xml:space="preserve">H99</t>
  </si>
  <si>
    <t xml:space="preserve">Ostatní přesuny hmot</t>
  </si>
  <si>
    <t xml:space="preserve">141</t>
  </si>
  <si>
    <t xml:space="preserve">H99_</t>
  </si>
  <si>
    <t xml:space="preserve">SO01.13_9_</t>
  </si>
  <si>
    <t xml:space="preserve">011VD</t>
  </si>
  <si>
    <t xml:space="preserve">Průzkumy,projektování,revize,zkoušky,geodet,koordinace,doprava a pod.</t>
  </si>
  <si>
    <t xml:space="preserve">142</t>
  </si>
  <si>
    <t xml:space="preserve">220890084R00</t>
  </si>
  <si>
    <t xml:space="preserve">Předání a převzetí staveniště,Náklady spojené s účastí zhotovitele na předání a převzetí staveniště a předání stavby</t>
  </si>
  <si>
    <t xml:space="preserve">011VD_</t>
  </si>
  <si>
    <t xml:space="preserve">VORN_0_</t>
  </si>
  <si>
    <t xml:space="preserve">VORN_</t>
  </si>
  <si>
    <t xml:space="preserve">143</t>
  </si>
  <si>
    <t xml:space="preserve">Dokumentace skutečného provedení stavby (3 paré) a v el.mediu</t>
  </si>
  <si>
    <t xml:space="preserve">144</t>
  </si>
  <si>
    <t xml:space="preserve">Foto-dokumentace skutečného provedení</t>
  </si>
  <si>
    <t xml:space="preserve">145</t>
  </si>
  <si>
    <t xml:space="preserve">Zkoušky výluhy  a revize v ZRN neuvedené v položkách</t>
  </si>
  <si>
    <t xml:space="preserve">146</t>
  </si>
  <si>
    <t xml:space="preserve">Účast technika na stavbě-inženýrská činnost dodavatele – práce spojené s realizací kolaudace (vyjádření, revize, zkoušky atd.)</t>
  </si>
  <si>
    <t xml:space="preserve">147</t>
  </si>
  <si>
    <t xml:space="preserve">Vytýčení stavby geodetem</t>
  </si>
  <si>
    <t xml:space="preserve">148</t>
  </si>
  <si>
    <t xml:space="preserve">Účast geodeta na stavbě-geodetické práce po výstavbě zaměření a geometrický plan ke vkladu do katastru</t>
  </si>
  <si>
    <t xml:space="preserve">149</t>
  </si>
  <si>
    <t xml:space="preserve">110      R00</t>
  </si>
  <si>
    <t xml:space="preserve">Mimostaveništní doprava -všechny druhy mimostav. přeprav,doprav čehokoliv (vč. DIO -zpracování a projednání, řízení dopravy apod.)</t>
  </si>
  <si>
    <t xml:space="preserve">150</t>
  </si>
  <si>
    <t xml:space="preserve">201      R00</t>
  </si>
  <si>
    <t xml:space="preserve">Koordinační a kompletační činnost generálního dodavatele,včetně vzorkování mat.,koordinace s bankou a pod.</t>
  </si>
  <si>
    <t xml:space="preserve">151</t>
  </si>
  <si>
    <t xml:space="preserve">110      R00A</t>
  </si>
  <si>
    <t xml:space="preserve">Zařízení staveniště -ostatní kompletní náklady na kompletní ZS (včetně oplocení,buněk,WC a pod)neuvedené v položkách objektu ZS, včetně odstranění</t>
  </si>
  <si>
    <t xml:space="preserve">sada</t>
  </si>
  <si>
    <t xml:space="preserve">Výkaz výměr</t>
  </si>
  <si>
    <t xml:space="preserve">Potřebné množství</t>
  </si>
  <si>
    <t xml:space="preserve">N</t>
  </si>
  <si>
    <t xml:space="preserve">3,2*2+16,3</t>
  </si>
  <si>
    <t xml:space="preserve">1*5</t>
  </si>
  <si>
    <t xml:space="preserve">20*(0,45+0,15)</t>
  </si>
  <si>
    <t xml:space="preserve">stěny a vrchol oválu</t>
  </si>
  <si>
    <t xml:space="preserve">0,6114</t>
  </si>
  <si>
    <t xml:space="preserve">;ztratné 10%; 0,0611</t>
  </si>
  <si>
    <t xml:space="preserve">0,3*0,1*22,7</t>
  </si>
  <si>
    <t xml:space="preserve">pod obrubami</t>
  </si>
  <si>
    <t xml:space="preserve">0,3*0,4*0,8*2*5</t>
  </si>
  <si>
    <t xml:space="preserve">lavičky</t>
  </si>
  <si>
    <t xml:space="preserve">0,4*0,4*0,4*1</t>
  </si>
  <si>
    <t xml:space="preserve">koše</t>
  </si>
  <si>
    <t xml:space="preserve">2*0,5*0,15</t>
  </si>
  <si>
    <t xml:space="preserve">plotek</t>
  </si>
  <si>
    <t xml:space="preserve">2*0,3*0,6</t>
  </si>
  <si>
    <t xml:space="preserve">podkladní  betony</t>
  </si>
  <si>
    <t xml:space="preserve">70,1*3</t>
  </si>
  <si>
    <t xml:space="preserve">2,8375+0,05+0,75+0,6114+1,362+2,048+1,0207+0,2103</t>
  </si>
  <si>
    <t xml:space="preserve">8,89*2</t>
  </si>
  <si>
    <t xml:space="preserve">10,9419-0,611</t>
  </si>
  <si>
    <t xml:space="preserve">10,331</t>
  </si>
  <si>
    <t xml:space="preserve">10,331*15</t>
  </si>
  <si>
    <t xml:space="preserve">0,05+0,75</t>
  </si>
  <si>
    <t xml:space="preserve">10,9419-0,8-7,988-0,87-0,6114</t>
  </si>
  <si>
    <t xml:space="preserve">4,4306+2,8375+0,72</t>
  </si>
  <si>
    <t xml:space="preserve">0,66+0,2103</t>
  </si>
  <si>
    <t xml:space="preserve">(6,7)*0,3</t>
  </si>
  <si>
    <t xml:space="preserve">6,23*(1+0,3*2)*(0,1+0,04+0,08)</t>
  </si>
  <si>
    <t xml:space="preserve">(5,78+5,8+1,1+18,18)*0,4*(0,32+0,1)</t>
  </si>
  <si>
    <t xml:space="preserve">(67,5-5,78+5,8+1,1+18,18)*0,3*0,15</t>
  </si>
  <si>
    <t xml:space="preserve">9,8*0,3/3*2</t>
  </si>
  <si>
    <t xml:space="preserve">1,96</t>
  </si>
  <si>
    <t xml:space="preserve">1,96*2</t>
  </si>
  <si>
    <t xml:space="preserve">2,01+2,193+5,184+3,906</t>
  </si>
  <si>
    <t xml:space="preserve">(9,8)*0,3/3*1</t>
  </si>
  <si>
    <t xml:space="preserve">0,98*15</t>
  </si>
  <si>
    <t xml:space="preserve">2,01+2,193+5,184+3,906-0,98</t>
  </si>
  <si>
    <t xml:space="preserve">12,313*15</t>
  </si>
  <si>
    <t xml:space="preserve">12,313</t>
  </si>
  <si>
    <t xml:space="preserve">6,7</t>
  </si>
  <si>
    <t xml:space="preserve">;ztratné 1%; 0,067</t>
  </si>
  <si>
    <t xml:space="preserve">3,2+2,6</t>
  </si>
  <si>
    <t xml:space="preserve">70,1*0,05/2*1,1</t>
  </si>
  <si>
    <t xml:space="preserve">70,1</t>
  </si>
  <si>
    <t xml:space="preserve">;ztratné 2%; 1,402</t>
  </si>
  <si>
    <t xml:space="preserve">40+2,6+2,1+1</t>
  </si>
  <si>
    <t xml:space="preserve">3,5</t>
  </si>
  <si>
    <t xml:space="preserve">(67,5+3,5)*0,3*0,2</t>
  </si>
  <si>
    <t xml:space="preserve">35,2070</t>
  </si>
  <si>
    <t xml:space="preserve">28,512</t>
  </si>
  <si>
    <t xml:space="preserve">405</t>
  </si>
  <si>
    <t xml:space="preserve">(5,78+5,8+1,1+18,18)*2,2*0,4*0,48</t>
  </si>
  <si>
    <t xml:space="preserve">dl. plochy</t>
  </si>
  <si>
    <t xml:space="preserve">(11+1,5*2)*2,2*0,4*0,48</t>
  </si>
  <si>
    <t xml:space="preserve">KZ1</t>
  </si>
  <si>
    <t xml:space="preserve">(21,54+1,1)*2,2*0,4*0,48</t>
  </si>
  <si>
    <t xml:space="preserve">KZ2</t>
  </si>
  <si>
    <t xml:space="preserve">;ztratné 10%; 2,8512</t>
  </si>
  <si>
    <t xml:space="preserve">(5,78+5,8+1,1+18,18)*0,15*80/10*5</t>
  </si>
  <si>
    <t xml:space="preserve">(11+1,5*2)*0,15*80/10*5</t>
  </si>
  <si>
    <t xml:space="preserve">(21,54+1,1)*0,15*80/10*5</t>
  </si>
  <si>
    <t xml:space="preserve">;ztratné 10%; 40,5</t>
  </si>
  <si>
    <t xml:space="preserve">0,4985</t>
  </si>
  <si>
    <t xml:space="preserve">(6,23)*1,1</t>
  </si>
  <si>
    <t xml:space="preserve">13*(1,2*0,35)</t>
  </si>
  <si>
    <t xml:space="preserve">5,46*2*0,04</t>
  </si>
  <si>
    <t xml:space="preserve">;ztratné 10%; 0,0437</t>
  </si>
  <si>
    <t xml:space="preserve">;ztratné 1%; 0,13</t>
  </si>
  <si>
    <t xml:space="preserve">3,5875</t>
  </si>
  <si>
    <t xml:space="preserve">(14,1+19,6)*2</t>
  </si>
  <si>
    <t xml:space="preserve">0,04</t>
  </si>
  <si>
    <t xml:space="preserve">;ztratné 10%; 0,004</t>
  </si>
  <si>
    <t xml:space="preserve">14,1+19,6</t>
  </si>
  <si>
    <t xml:space="preserve"> - průměrovaný odhad, plochy nebudou plně zaplevelené</t>
  </si>
  <si>
    <t xml:space="preserve">33,7</t>
  </si>
  <si>
    <t xml:space="preserve">193</t>
  </si>
  <si>
    <t xml:space="preserve">193/200*2</t>
  </si>
  <si>
    <t xml:space="preserve">33,7*0,07*1,8</t>
  </si>
  <si>
    <t xml:space="preserve">;ztratné 10%; 0,4246</t>
  </si>
  <si>
    <t xml:space="preserve">33,7*0,02</t>
  </si>
  <si>
    <t xml:space="preserve">0,674</t>
  </si>
  <si>
    <t xml:space="preserve">340</t>
  </si>
  <si>
    <t xml:space="preserve">9,8</t>
  </si>
  <si>
    <t xml:space="preserve">0,03*9,8</t>
  </si>
  <si>
    <t xml:space="preserve">9,8*2</t>
  </si>
  <si>
    <t xml:space="preserve">0,001</t>
  </si>
  <si>
    <t xml:space="preserve">;ztratné 10%; 0,0001</t>
  </si>
  <si>
    <t xml:space="preserve">9,8*0,02</t>
  </si>
  <si>
    <t xml:space="preserve">0,196</t>
  </si>
  <si>
    <t xml:space="preserve">(9,8*0,3/3*1)*1,6</t>
  </si>
  <si>
    <t xml:space="preserve">;ztratné 10%; 0,1568</t>
  </si>
  <si>
    <t xml:space="preserve">6,9187</t>
  </si>
  <si>
    <t xml:space="preserve">20*(14,1+19,6)*5*0,001</t>
  </si>
  <si>
    <t xml:space="preserve">záhony</t>
  </si>
  <si>
    <t xml:space="preserve">0,03*9,8*12</t>
  </si>
  <si>
    <t xml:space="preserve">trávník</t>
  </si>
  <si>
    <t xml:space="preserve">3,37+3,528</t>
  </si>
  <si>
    <t xml:space="preserve">33,7*2</t>
  </si>
  <si>
    <t xml:space="preserve">(9,8*5)/10000</t>
  </si>
  <si>
    <t xml:space="preserve">0,35*0,35*0,3*1,1</t>
  </si>
  <si>
    <t xml:space="preserve">V11</t>
  </si>
  <si>
    <t xml:space="preserve">0,4*0,4*0,4*13*1,1</t>
  </si>
  <si>
    <t xml:space="preserve">V05</t>
  </si>
  <si>
    <t xml:space="preserve">0,35*0,35*0,15*1,1</t>
  </si>
  <si>
    <t xml:space="preserve">V11_pro štěrky</t>
  </si>
  <si>
    <t xml:space="preserve">0,4*0,4*0,15*13*1,1</t>
  </si>
  <si>
    <t xml:space="preserve">1,318</t>
  </si>
  <si>
    <t xml:space="preserve">1,318*15</t>
  </si>
  <si>
    <t xml:space="preserve">0,2*4*1</t>
  </si>
  <si>
    <t xml:space="preserve">0,2*4*3*6</t>
  </si>
  <si>
    <t xml:space="preserve">0,8/0,2</t>
  </si>
  <si>
    <t xml:space="preserve">;ztratné 10%; 0,4</t>
  </si>
  <si>
    <t xml:space="preserve">14,4/0,2</t>
  </si>
  <si>
    <t xml:space="preserve">;ztratné 10%; 7,2</t>
  </si>
  <si>
    <t xml:space="preserve">0,0018</t>
  </si>
  <si>
    <t xml:space="preserve">1,53</t>
  </si>
  <si>
    <t xml:space="preserve">4,756-0,002-1,53</t>
  </si>
  <si>
    <t xml:space="preserve">2*8</t>
  </si>
  <si>
    <t xml:space="preserve">Varianta</t>
  </si>
  <si>
    <t xml:space="preserve">RTS komentář</t>
  </si>
  <si>
    <t xml:space="preserve">stavební dělník v tarifní třídě 5</t>
  </si>
  <si>
    <t xml:space="preserve">V položce není kalkulována manipulace se sutí, která se oceňuje samostatně položkami souboru 979</t>
  </si>
  <si>
    <t xml:space="preserve">štěrkodrť frakce 0-32 mm</t>
  </si>
  <si>
    <t xml:space="preserve">Rám a poklop jsou vyrobeny z oceli s povrchovou úpravou žárovým zinkováním. Poklopy nemají těsnění.  Pro zakrytí inspekčních šachet v prostředí dlážděných zón. Jsou určeny pro vyplnění zámkovou dlažbou, žulovou dlažbou nebo přírodními kameny. Minimální betonová výplň vany musí být 5 cm (betonem třídy C35/45) pro zachování nosnosti 12,5 tuny.  Hloubka vany V = 80 m</t>
  </si>
  <si>
    <t xml:space="preserve">včetně obrubníku</t>
  </si>
  <si>
    <t xml:space="preserve">XF3 odolnost proti střídavému působení mrazu</t>
  </si>
  <si>
    <t xml:space="preserve">Revize</t>
  </si>
  <si>
    <t xml:space="preserve">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</si>
  <si>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 xml:space="preserve">Komplexni vyzkouseni</t>
  </si>
  <si>
    <t xml:space="preserve">Osazení betonového silničního nebo chodníkového obrubníku</t>
  </si>
  <si>
    <t xml:space="preserve">povrch základní KB Obrubník Parkový 80-1000 Parkový betonový obrubník šíře 80 mm najde své využití všude tam, kde je zapotřebí stabilnější obrubník než klasický zahradní, v parcích a zahradách k oddělení vydlážděných ploch nebo pro ohraničení travnatých ploch.  šířka 80 mm výška 250 mm délka 1000 m</t>
  </si>
  <si>
    <t xml:space="preserve">Příplatek za rozprostření kameniva na recyklovanou plochu. Bez dodávky kameniva</t>
  </si>
  <si>
    <t xml:space="preserve">
(0,3*3,14*0,85*0,95)+(0,3*3,14*0,35*0,35)
"H2
(0,6*0,8*0,9)*5
</t>
  </si>
  <si>
    <t xml:space="preserve">Popis výrobku
Parková stavebnicová oblouková lavička s opěradly. Ocelová konstrukce spojená s dřevěnými deskami a lamelami pomocí šroubových spojů z nerezu. Lavička tvoří oblouk střední délky cca 2,56 m, 30° kruhové výseče. Sedák je ze segmentů z masivního dřeva spojeny s ocelovým rámem. Opěradla z dřevěných lamel v ocelovém rámu.
Materiál
konstrukce: bočnice a rám sedáku svařené z výpalků z trubek obdélníkového profilu a výpalků z ocelového plechu spojené ohýbanými profily
masivní dřevo: tropické dřevo
Povrchová úprava
Ocelová konstrukce bočnic je opatřena ochrannou vrstvou zinku a práškovým vypalovacím lakem: barva RAL upřesněna v PD Dřevo – opatřeno teakovým olejem
Rozměry
Vnitřní poloměr 4 600 mm
Sedák šířky 510 mm, výška s opěrkou 375 mm
Celková délka vnitřního oblouku 14 900 mm
Kotvení
Chemickou kotvou pomocí nerezových závitových tyčí M12 délky min. 200 mm a kloboukových matic M12 s podložkou do předem vybetonovaných základů – krajní nohy pomocí 2 závitových tyčí, střední noha pomocí 4 závitových tyčí.
Základové konstrukce
Pod nohy budou provedeny základové patky 400x400x400 mm z prostého betonu C20/25. Do každé patky budou osazeny 4 nerezové závitové tyče délky min. 200 mm pro kotvení prvku</t>
  </si>
  <si>
    <t xml:space="preserve">400x400x940mm DxŠxV, objem 1: 50 l, se
stříškou, bez popelníku, plastová vnitřní
nádoba, kruhový půdorys, zinkovaná
ocelová konstrukce opatřená práškovým
vypalovacím lakem, mmcité standardní
RAL, lamely z tropického dřeva jatoba,
FSC 100%, přírodní, kotvení na dlažb</t>
  </si>
  <si>
    <t xml:space="preserve">Krycí list rozpočtu (SO01.10 - Přípravné a bourací práce)</t>
  </si>
  <si>
    <t xml:space="preserve">C</t>
  </si>
  <si>
    <t xml:space="preserve">NUS celkem</t>
  </si>
  <si>
    <t xml:space="preserve">VORN celkem</t>
  </si>
  <si>
    <t xml:space="preserve">Vedlejší a ostatní rozpočtové náklady (SO01.10 - Přípravné a bourací práce)</t>
  </si>
  <si>
    <t xml:space="preserve">Stavební rozpočet (SO01.10 - Přípravné a bourací práce)</t>
  </si>
  <si>
    <t xml:space="preserve">Výkaz výměr (SO01.10 - Přípravné a bourací práce)</t>
  </si>
  <si>
    <t xml:space="preserve">Krycí list rozpočtu (SO01.11 - Stavební úpravy zpevněných ploch)</t>
  </si>
  <si>
    <t xml:space="preserve">Vedlejší a ostatní rozpočtové náklady (SO01.11 - Stavební úpravy zpevněných ploch)</t>
  </si>
  <si>
    <t xml:space="preserve">Stavební rozpočet (SO01.11 - Stavební úpravy zpevněných ploch)</t>
  </si>
  <si>
    <t xml:space="preserve">Výkaz výměr (SO01.11 - Stavební úpravy zpevněných ploch)</t>
  </si>
  <si>
    <t xml:space="preserve">Krycí list rozpočtu (SO01.12 - Řešení zeleně a  terénní úpravy)</t>
  </si>
  <si>
    <t xml:space="preserve">Vedlejší a ostatní rozpočtové náklady (SO01.12 - Řešení zeleně a  terénní úpravy)</t>
  </si>
  <si>
    <t xml:space="preserve">Stavební rozpočet (SO01.12 - Řešení zeleně a  terénní úpravy)</t>
  </si>
  <si>
    <t xml:space="preserve">Výkaz výměr (SO01.12 - Řešení zeleně a  terénní úpravy)</t>
  </si>
  <si>
    <t xml:space="preserve">Krycí list rozpočtu (SO01.13 - Mobiliář)</t>
  </si>
  <si>
    <t xml:space="preserve">Vedlejší a ostatní rozpočtové náklady (SO01.13 - Mobiliář)</t>
  </si>
  <si>
    <t xml:space="preserve">Stavební rozpočet (SO01.13 - Mobiliář)</t>
  </si>
  <si>
    <t xml:space="preserve">Výkaz výměr (SO01.13 - Mobiliář)</t>
  </si>
  <si>
    <t xml:space="preserve">Krycí list rozpočtu (VORN - Vedlejší a ostatní rozpočtové náklady)</t>
  </si>
  <si>
    <t xml:space="preserve">Vedlejší a ostatní rozpočtové náklady (VORN - Vedlejší a ostatní rozpočtové náklady)</t>
  </si>
  <si>
    <t xml:space="preserve">Stavební rozpočet (VORN - Vedlejší a ostatní rozpočtové náklady)</t>
  </si>
  <si>
    <t xml:space="preserve">Výkaz výměr (VORN - Vedlejší a ostatní rozpočtové náklady)</t>
  </si>
</sst>
</file>

<file path=xl/styles.xml><?xml version="1.0" encoding="utf-8"?>
<styleSheet xmlns="http://schemas.openxmlformats.org/spreadsheetml/2006/main">
  <numFmts count="7">
    <numFmt numFmtId="164" formatCode="General"/>
    <numFmt numFmtId="165" formatCode="@"/>
    <numFmt numFmtId="166" formatCode="0"/>
    <numFmt numFmtId="167" formatCode="dd/mm/yyyy"/>
    <numFmt numFmtId="168" formatCode="#,##0.00"/>
    <numFmt numFmtId="169" formatCode="#,##0.00\ [$Kč-405];[RED]\-#,##0.00\ [$Kč-405]"/>
    <numFmt numFmtId="170" formatCode="0.000"/>
  </numFmts>
  <fonts count="27">
    <font>
      <sz val="10"/>
      <name val="Arial"/>
      <family val="2"/>
      <charset val="238"/>
    </font>
    <font>
      <sz val="10"/>
      <name val="Arial"/>
      <family val="0"/>
      <charset val="238"/>
    </font>
    <font>
      <sz val="10"/>
      <name val="Arial"/>
      <family val="0"/>
      <charset val="238"/>
    </font>
    <font>
      <sz val="10"/>
      <name val="Arial"/>
      <family val="0"/>
      <charset val="238"/>
    </font>
    <font>
      <sz val="24"/>
      <color rgb="FF000000"/>
      <name val="Arial"/>
      <family val="2"/>
      <charset val="238"/>
    </font>
    <font>
      <sz val="10"/>
      <color rgb="FF000000"/>
      <name val="Arial"/>
      <family val="0"/>
      <charset val="238"/>
    </font>
    <font>
      <b val="true"/>
      <sz val="10"/>
      <color rgb="FF000000"/>
      <name val="Arial"/>
      <family val="0"/>
      <charset val="238"/>
    </font>
    <font>
      <sz val="10"/>
      <color rgb="FF000000"/>
      <name val="Arial"/>
      <family val="2"/>
      <charset val="238"/>
    </font>
    <font>
      <sz val="10"/>
      <color rgb="FF0000CC"/>
      <name val="Arial"/>
      <family val="2"/>
      <charset val="238"/>
    </font>
    <font>
      <sz val="10"/>
      <color rgb="FF800000"/>
      <name val="Arial"/>
      <family val="0"/>
      <charset val="238"/>
    </font>
    <font>
      <sz val="10"/>
      <color rgb="FF0000FF"/>
      <name val="Arial"/>
      <family val="2"/>
      <charset val="238"/>
    </font>
    <font>
      <sz val="11"/>
      <name val="Calibri"/>
      <family val="0"/>
      <charset val="1"/>
    </font>
    <font>
      <sz val="24"/>
      <color rgb="FF000000"/>
      <name val="Arial"/>
      <family val="0"/>
      <charset val="238"/>
    </font>
    <font>
      <sz val="18"/>
      <color rgb="FF000000"/>
      <name val="Arial"/>
      <family val="0"/>
      <charset val="238"/>
    </font>
    <font>
      <b val="true"/>
      <sz val="18"/>
      <color rgb="FF000000"/>
      <name val="Arial"/>
      <family val="0"/>
      <charset val="238"/>
    </font>
    <font>
      <b val="true"/>
      <sz val="20"/>
      <color rgb="FF000000"/>
      <name val="Arial"/>
      <family val="0"/>
      <charset val="238"/>
    </font>
    <font>
      <b val="true"/>
      <sz val="11"/>
      <color rgb="FF000000"/>
      <name val="Arial"/>
      <family val="0"/>
      <charset val="238"/>
    </font>
    <font>
      <b val="true"/>
      <sz val="12"/>
      <color rgb="FF000000"/>
      <name val="Arial"/>
      <family val="0"/>
      <charset val="238"/>
    </font>
    <font>
      <sz val="12"/>
      <color rgb="FF000000"/>
      <name val="Arial"/>
      <family val="0"/>
      <charset val="238"/>
    </font>
    <font>
      <u val="single"/>
      <sz val="10"/>
      <name val="Arial"/>
      <family val="2"/>
      <charset val="1"/>
    </font>
    <font>
      <i val="true"/>
      <sz val="10"/>
      <name val="Arial"/>
      <family val="2"/>
      <charset val="1"/>
    </font>
    <font>
      <sz val="10"/>
      <name val="Arial"/>
      <family val="2"/>
      <charset val="1"/>
    </font>
    <font>
      <sz val="14"/>
      <color rgb="FF000000"/>
      <name val="Arial"/>
      <family val="0"/>
      <charset val="238"/>
    </font>
    <font>
      <b val="true"/>
      <sz val="14"/>
      <color rgb="FF000000"/>
      <name val="Arial"/>
      <family val="0"/>
      <charset val="238"/>
    </font>
    <font>
      <sz val="10"/>
      <color rgb="FF0000FF"/>
      <name val="Arial"/>
      <family val="0"/>
      <charset val="238"/>
    </font>
    <font>
      <i val="true"/>
      <sz val="9"/>
      <color rgb="FF000000"/>
      <name val="Arial"/>
      <family val="0"/>
      <charset val="238"/>
    </font>
    <font>
      <i val="true"/>
      <sz val="9"/>
      <color rgb="FF0000FF"/>
      <name val="Arial"/>
      <family val="0"/>
      <charset val="238"/>
    </font>
  </fonts>
  <fills count="9">
    <fill>
      <patternFill patternType="none"/>
    </fill>
    <fill>
      <patternFill patternType="gray125"/>
    </fill>
    <fill>
      <patternFill patternType="solid">
        <fgColor rgb="FFC0C0C0"/>
        <bgColor rgb="FFCCCCFF"/>
      </patternFill>
    </fill>
    <fill>
      <patternFill patternType="solid">
        <fgColor rgb="FFB8860B"/>
        <bgColor rgb="FFFF9900"/>
      </patternFill>
    </fill>
    <fill>
      <patternFill patternType="solid">
        <fgColor rgb="FF2979FF"/>
        <bgColor rgb="FF0066CC"/>
      </patternFill>
    </fill>
    <fill>
      <patternFill patternType="solid">
        <fgColor rgb="FF558B2F"/>
        <bgColor rgb="FF808080"/>
      </patternFill>
    </fill>
    <fill>
      <patternFill patternType="solid">
        <fgColor rgb="FFF06292"/>
        <bgColor rgb="FFFF99CC"/>
      </patternFill>
    </fill>
    <fill>
      <patternFill patternType="solid">
        <fgColor rgb="FF9932CC"/>
        <bgColor rgb="FF993366"/>
      </patternFill>
    </fill>
    <fill>
      <patternFill patternType="solid">
        <fgColor rgb="FF000000"/>
        <bgColor rgb="FF003300"/>
      </patternFill>
    </fill>
  </fills>
  <borders count="39">
    <border diagonalUp="false" diagonalDown="false">
      <left/>
      <right/>
      <top/>
      <bottom/>
      <diagonal/>
    </border>
    <border diagonalUp="false" diagonalDown="false">
      <left/>
      <right/>
      <top/>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thin"/>
      <right style="thin"/>
      <top style="thin"/>
      <bottom style="thin"/>
      <diagonal/>
    </border>
    <border diagonalUp="false" diagonalDown="false">
      <left/>
      <right style="thin"/>
      <top style="thin"/>
      <bottom style="thin"/>
      <diagonal/>
    </border>
    <border diagonalUp="false" diagonalDown="false">
      <left style="thin"/>
      <right style="thin"/>
      <top/>
      <bottom/>
      <diagonal/>
    </border>
    <border diagonalUp="false" diagonalDown="false">
      <left style="thin"/>
      <right style="thin"/>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style="medium"/>
      <right style="medium"/>
      <top style="medium"/>
      <bottom/>
      <diagonal/>
    </border>
    <border diagonalUp="false" diagonalDown="false">
      <left/>
      <right style="medium"/>
      <top style="medium"/>
      <bottom/>
      <diagonal/>
    </border>
    <border diagonalUp="false" diagonalDown="false">
      <left style="medium"/>
      <right style="medium"/>
      <top/>
      <bottom/>
      <diagonal/>
    </border>
    <border diagonalUp="false" diagonalDown="false">
      <left/>
      <right style="medium"/>
      <top/>
      <bottom/>
      <diagonal/>
    </border>
    <border diagonalUp="false" diagonalDown="false">
      <left style="medium"/>
      <right style="medium"/>
      <top/>
      <bottom style="medium"/>
      <diagonal/>
    </border>
    <border diagonalUp="false" diagonalDown="false">
      <left/>
      <right style="medium"/>
      <top/>
      <bottom style="medium"/>
      <diagonal/>
    </border>
    <border diagonalUp="false" diagonalDown="false">
      <left style="medium"/>
      <right style="medium"/>
      <top style="medium"/>
      <bottom style="thin"/>
      <diagonal/>
    </border>
    <border diagonalUp="false" diagonalDown="false">
      <left/>
      <right style="medium"/>
      <top style="medium"/>
      <bottom style="thin"/>
      <diagonal/>
    </border>
    <border diagonalUp="false" diagonalDown="false">
      <left style="medium"/>
      <right style="medium"/>
      <top style="medium"/>
      <bottom style="medium"/>
      <diagonal/>
    </border>
    <border diagonalUp="false" diagonalDown="false">
      <left/>
      <right style="medium"/>
      <top style="medium"/>
      <bottom style="medium"/>
      <diagonal/>
    </border>
    <border diagonalUp="false" diagonalDown="false">
      <left style="medium"/>
      <right style="thin"/>
      <top style="medium"/>
      <bottom/>
      <diagonal/>
    </border>
    <border diagonalUp="false" diagonalDown="false">
      <left/>
      <right/>
      <top style="medium"/>
      <bottom/>
      <diagonal/>
    </border>
    <border diagonalUp="false" diagonalDown="false">
      <left style="medium"/>
      <right style="thin"/>
      <top/>
      <bottom style="medium"/>
      <diagonal/>
    </border>
    <border diagonalUp="false" diagonalDown="false">
      <left/>
      <right/>
      <top/>
      <bottom style="medium"/>
      <diagonal/>
    </border>
    <border diagonalUp="false" diagonalDown="false">
      <left/>
      <right style="thin"/>
      <top/>
      <bottom style="medium"/>
      <diagonal/>
    </border>
    <border diagonalUp="false" diagonalDown="false">
      <left style="thin"/>
      <right style="thin"/>
      <top style="medium"/>
      <bottom/>
      <diagonal/>
    </border>
    <border diagonalUp="false" diagonalDown="false">
      <left/>
      <right style="thin"/>
      <top style="medium"/>
      <bottom/>
      <diagonal/>
    </border>
    <border diagonalUp="false" diagonalDown="false">
      <left/>
      <right/>
      <top style="medium"/>
      <bottom style="thin"/>
      <diagonal/>
    </border>
    <border diagonalUp="false" diagonalDown="false">
      <left style="thin"/>
      <right style="thin"/>
      <top/>
      <bottom style="medium"/>
      <diagonal/>
    </border>
    <border diagonalUp="false" diagonalDown="false">
      <left style="medium"/>
      <right style="thin"/>
      <top style="medium"/>
      <bottom style="medium"/>
      <diagonal/>
    </border>
    <border diagonalUp="false" diagonalDown="false">
      <left/>
      <right style="thin"/>
      <top style="medium"/>
      <bottom style="medium"/>
      <diagonal/>
    </border>
    <border diagonalUp="false" diagonalDown="false">
      <left/>
      <right/>
      <top style="medium"/>
      <bottom style="medium"/>
      <diagonal/>
    </border>
    <border diagonalUp="false" diagonalDown="false">
      <left style="thin"/>
      <right style="medium"/>
      <top style="medium"/>
      <bottom style="medium"/>
      <diagonal/>
    </border>
    <border diagonalUp="false" diagonalDown="false">
      <left style="medium"/>
      <right/>
      <top/>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8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5" fontId="4" fillId="0" borderId="1" xfId="0" applyFont="true" applyBorder="true" applyAlignment="true" applyProtection="true">
      <alignment horizontal="center" vertical="center" textRotation="0" wrapText="false" indent="0" shrinkToFit="false"/>
      <protection locked="true" hidden="false"/>
    </xf>
    <xf numFmtId="164" fontId="5" fillId="0" borderId="2" xfId="0" applyFont="true" applyBorder="true" applyAlignment="true" applyProtection="true">
      <alignment horizontal="left" vertical="center" textRotation="0" wrapText="true" indent="0" shrinkToFit="false"/>
      <protection locked="true" hidden="false"/>
    </xf>
    <xf numFmtId="164" fontId="6" fillId="0" borderId="3" xfId="0" applyFont="true" applyBorder="true" applyAlignment="true" applyProtection="true">
      <alignment horizontal="left" vertical="center" textRotation="0" wrapText="true" indent="0" shrinkToFit="false"/>
      <protection locked="true" hidden="false"/>
    </xf>
    <xf numFmtId="164" fontId="5" fillId="0" borderId="3" xfId="0" applyFont="true" applyBorder="true" applyAlignment="true" applyProtection="true">
      <alignment horizontal="left" vertical="center" textRotation="0" wrapText="true" indent="0" shrinkToFit="false"/>
      <protection locked="true" hidden="false"/>
    </xf>
    <xf numFmtId="164" fontId="5" fillId="0" borderId="4" xfId="0" applyFont="true" applyBorder="true" applyAlignment="true" applyProtection="true">
      <alignment horizontal="left" vertical="center" textRotation="0" wrapText="false" indent="0" shrinkToFit="false"/>
      <protection locked="true" hidden="false"/>
    </xf>
    <xf numFmtId="164" fontId="7" fillId="0" borderId="5" xfId="0" applyFont="true" applyBorder="true" applyAlignment="true" applyProtection="true">
      <alignment horizontal="general" vertical="center" textRotation="0" wrapText="false" indent="0" shrinkToFit="false"/>
      <protection locked="true" hidden="false"/>
    </xf>
    <xf numFmtId="164" fontId="5" fillId="0" borderId="5" xfId="0" applyFont="true" applyBorder="true" applyAlignment="true" applyProtection="true">
      <alignment horizontal="left" vertical="center" textRotation="0" wrapText="true" indent="0" shrinkToFit="false"/>
      <protection locked="true" hidden="false"/>
    </xf>
    <xf numFmtId="164" fontId="5" fillId="0" borderId="0" xfId="0" applyFont="true" applyBorder="true" applyAlignment="true" applyProtection="true">
      <alignment horizontal="left" vertical="center" textRotation="0" wrapText="true" indent="0" shrinkToFit="false"/>
      <protection locked="true" hidden="false"/>
    </xf>
    <xf numFmtId="164" fontId="5" fillId="0" borderId="6" xfId="0" applyFont="true" applyBorder="true" applyAlignment="true" applyProtection="true">
      <alignment horizontal="left" vertical="center" textRotation="0" wrapText="false" indent="0" shrinkToFit="false"/>
      <protection locked="true" hidden="false"/>
    </xf>
    <xf numFmtId="164" fontId="5" fillId="0" borderId="0" xfId="0" applyFont="true" applyBorder="true" applyAlignment="true" applyProtection="true">
      <alignment horizontal="left" vertical="center" textRotation="0" wrapText="false" indent="0" shrinkToFit="false"/>
      <protection locked="true" hidden="false"/>
    </xf>
    <xf numFmtId="166" fontId="5" fillId="0" borderId="6" xfId="0" applyFont="true" applyBorder="true" applyAlignment="true" applyProtection="true">
      <alignment horizontal="left" vertical="center" textRotation="0" wrapText="false" indent="0" shrinkToFit="false"/>
      <protection locked="true" hidden="false"/>
    </xf>
    <xf numFmtId="164" fontId="5" fillId="0" borderId="7" xfId="0" applyFont="true" applyBorder="true" applyAlignment="true" applyProtection="true">
      <alignment horizontal="left" vertical="center" textRotation="0" wrapText="true" indent="0" shrinkToFit="false"/>
      <protection locked="true" hidden="false"/>
    </xf>
    <xf numFmtId="164" fontId="5" fillId="0" borderId="1" xfId="0" applyFont="true" applyBorder="true" applyAlignment="true" applyProtection="true">
      <alignment horizontal="left" vertical="center" textRotation="0" wrapText="true" indent="0" shrinkToFit="false"/>
      <protection locked="true" hidden="false"/>
    </xf>
    <xf numFmtId="164" fontId="5" fillId="0" borderId="1" xfId="0" applyFont="true" applyBorder="true" applyAlignment="true" applyProtection="true">
      <alignment horizontal="left" vertical="center" textRotation="0" wrapText="false" indent="0" shrinkToFit="false"/>
      <protection locked="true" hidden="false"/>
    </xf>
    <xf numFmtId="164" fontId="5" fillId="0" borderId="8" xfId="0" applyFont="true" applyBorder="true" applyAlignment="true" applyProtection="true">
      <alignment horizontal="left" vertical="center" textRotation="0" wrapText="true" indent="0" shrinkToFit="false"/>
      <protection locked="true" hidden="false"/>
    </xf>
    <xf numFmtId="164" fontId="0" fillId="0" borderId="0" xfId="0" applyFont="true" applyBorder="tru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general" vertical="bottom" textRotation="0" wrapText="false" indent="0" shrinkToFit="false"/>
      <protection locked="true" hidden="false"/>
    </xf>
    <xf numFmtId="167" fontId="1" fillId="0" borderId="0" xfId="0" applyFont="true" applyBorder="false" applyAlignment="true" applyProtection="true">
      <alignment horizontal="general" vertical="bottom" textRotation="0" wrapText="fals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1" fillId="0" borderId="0" xfId="0" applyFont="true" applyBorder="true" applyAlignment="true" applyProtection="true">
      <alignment horizontal="general" vertical="bottom" textRotation="0" wrapText="false" indent="0" shrinkToFit="false"/>
      <protection locked="true" hidden="false"/>
    </xf>
    <xf numFmtId="164" fontId="12" fillId="0" borderId="1" xfId="0" applyFont="true" applyBorder="true" applyAlignment="true" applyProtection="true">
      <alignment horizontal="center" vertical="center" textRotation="0" wrapText="true" indent="0" shrinkToFit="false"/>
      <protection locked="true" hidden="false"/>
    </xf>
    <xf numFmtId="164" fontId="13" fillId="0" borderId="0" xfId="0" applyFont="true" applyBorder="true" applyAlignment="true" applyProtection="true">
      <alignment horizontal="center" vertical="center" textRotation="0" wrapText="true" indent="0" shrinkToFit="false"/>
      <protection locked="true" hidden="false"/>
    </xf>
    <xf numFmtId="164" fontId="14" fillId="0" borderId="0" xfId="0" applyFont="true" applyBorder="true" applyAlignment="true" applyProtection="true">
      <alignment horizontal="center" vertical="center" textRotation="0" wrapText="false" indent="0" shrinkToFit="false"/>
      <protection locked="true" hidden="false"/>
    </xf>
    <xf numFmtId="164" fontId="15" fillId="2" borderId="9" xfId="0" applyFont="true" applyBorder="true" applyAlignment="true" applyProtection="true">
      <alignment horizontal="center" vertical="center" textRotation="0" wrapText="false" indent="0" shrinkToFit="false"/>
      <protection locked="true" hidden="false"/>
    </xf>
    <xf numFmtId="164" fontId="16" fillId="0" borderId="10" xfId="0" applyFont="true" applyBorder="true" applyAlignment="true" applyProtection="true">
      <alignment horizontal="left" vertical="center" textRotation="0" wrapText="false" indent="0" shrinkToFit="false"/>
      <protection locked="true" hidden="false"/>
    </xf>
    <xf numFmtId="164" fontId="15" fillId="2" borderId="10" xfId="0" applyFont="true" applyBorder="true" applyAlignment="true" applyProtection="true">
      <alignment horizontal="center" vertical="center" textRotation="0" wrapText="false" indent="0" shrinkToFit="false"/>
      <protection locked="true" hidden="false"/>
    </xf>
    <xf numFmtId="164" fontId="17" fillId="0" borderId="11" xfId="0" applyFont="true" applyBorder="true" applyAlignment="true" applyProtection="true">
      <alignment horizontal="left" vertical="center" textRotation="0" wrapText="false" indent="0" shrinkToFit="false"/>
      <protection locked="true" hidden="false"/>
    </xf>
    <xf numFmtId="164" fontId="18" fillId="0" borderId="8" xfId="0" applyFont="true" applyBorder="true" applyAlignment="true" applyProtection="true">
      <alignment horizontal="left" vertical="center" textRotation="0" wrapText="false" indent="0" shrinkToFit="false"/>
      <protection locked="true" hidden="false"/>
    </xf>
    <xf numFmtId="168" fontId="18" fillId="0" borderId="8" xfId="0" applyFont="true" applyBorder="true" applyAlignment="true" applyProtection="true">
      <alignment horizontal="right" vertical="center" textRotation="0" wrapText="false" indent="0" shrinkToFit="false"/>
      <protection locked="true" hidden="false"/>
    </xf>
    <xf numFmtId="164" fontId="17" fillId="0" borderId="12" xfId="0" applyFont="true" applyBorder="true" applyAlignment="true" applyProtection="true">
      <alignment horizontal="left" vertical="center" textRotation="0" wrapText="false" indent="0" shrinkToFit="false"/>
      <protection locked="true" hidden="false"/>
    </xf>
    <xf numFmtId="164" fontId="18" fillId="0" borderId="8" xfId="0" applyFont="true" applyBorder="true" applyAlignment="true" applyProtection="true">
      <alignment horizontal="right" vertical="center" textRotation="0" wrapText="false" indent="0" shrinkToFit="false"/>
      <protection locked="true" hidden="false"/>
    </xf>
    <xf numFmtId="168" fontId="18" fillId="0" borderId="6" xfId="0" applyFont="true" applyBorder="true" applyAlignment="true" applyProtection="true">
      <alignment horizontal="right" vertical="center" textRotation="0" wrapText="false" indent="0" shrinkToFit="false"/>
      <protection locked="true" hidden="false"/>
    </xf>
    <xf numFmtId="164" fontId="18" fillId="0" borderId="6" xfId="0" applyFont="true" applyBorder="true" applyAlignment="true" applyProtection="true">
      <alignment horizontal="left" vertical="center" textRotation="0" wrapText="false" indent="0" shrinkToFit="false"/>
      <protection locked="true" hidden="false"/>
    </xf>
    <xf numFmtId="164" fontId="18" fillId="0" borderId="6" xfId="0" applyFont="true" applyBorder="true" applyAlignment="true" applyProtection="true">
      <alignment horizontal="right" vertical="center" textRotation="0" wrapText="false" indent="0" shrinkToFit="false"/>
      <protection locked="true" hidden="false"/>
    </xf>
    <xf numFmtId="164" fontId="17" fillId="0" borderId="9" xfId="0" applyFont="true" applyBorder="true" applyAlignment="true" applyProtection="true">
      <alignment horizontal="left" vertical="center" textRotation="0" wrapText="false" indent="0" shrinkToFit="false"/>
      <protection locked="true" hidden="false"/>
    </xf>
    <xf numFmtId="168" fontId="18" fillId="0" borderId="10" xfId="0" applyFont="true" applyBorder="true" applyAlignment="true" applyProtection="true">
      <alignment horizontal="right" vertical="center" textRotation="0" wrapText="false" indent="0" shrinkToFit="false"/>
      <protection locked="true" hidden="false"/>
    </xf>
    <xf numFmtId="164" fontId="17" fillId="0" borderId="10" xfId="0" applyFont="true" applyBorder="true" applyAlignment="true" applyProtection="true">
      <alignment horizontal="left" vertical="center" textRotation="0" wrapText="false" indent="0" shrinkToFit="false"/>
      <protection locked="true" hidden="false"/>
    </xf>
    <xf numFmtId="164" fontId="17" fillId="0" borderId="8" xfId="0" applyFont="true" applyBorder="true" applyAlignment="true" applyProtection="true">
      <alignment horizontal="left" vertical="center" textRotation="0" wrapText="false" indent="0" shrinkToFit="false"/>
      <protection locked="true" hidden="false"/>
    </xf>
    <xf numFmtId="169" fontId="17" fillId="2" borderId="13" xfId="0" applyFont="true" applyBorder="true" applyAlignment="true" applyProtection="true">
      <alignment horizontal="left" vertical="center" textRotation="0" wrapText="false" indent="0" shrinkToFit="false"/>
      <protection locked="true" hidden="false"/>
    </xf>
    <xf numFmtId="169" fontId="17" fillId="2" borderId="10" xfId="0" applyFont="true" applyBorder="true" applyAlignment="true" applyProtection="true">
      <alignment horizontal="right" vertical="center" textRotation="0" wrapText="false" indent="0" shrinkToFit="false"/>
      <protection locked="true" hidden="false"/>
    </xf>
    <xf numFmtId="169" fontId="11" fillId="0" borderId="0" xfId="0" applyFont="true" applyBorder="true" applyAlignment="true" applyProtection="true">
      <alignment horizontal="general" vertical="bottom" textRotation="0" wrapText="false" indent="0" shrinkToFit="false"/>
      <protection locked="true" hidden="false"/>
    </xf>
    <xf numFmtId="169" fontId="17" fillId="2" borderId="7" xfId="0" applyFont="true" applyBorder="true" applyAlignment="true" applyProtection="true">
      <alignment horizontal="left" vertical="center" textRotation="0" wrapText="false" indent="0" shrinkToFit="false"/>
      <protection locked="true" hidden="false"/>
    </xf>
    <xf numFmtId="169" fontId="17" fillId="2" borderId="8" xfId="0" applyFont="true" applyBorder="true" applyAlignment="true" applyProtection="true">
      <alignment horizontal="right" vertical="center" textRotation="0" wrapText="false" indent="0" shrinkToFit="false"/>
      <protection locked="true" hidden="false"/>
    </xf>
    <xf numFmtId="169" fontId="17" fillId="2" borderId="14" xfId="0" applyFont="true" applyBorder="true" applyAlignment="true" applyProtection="true">
      <alignment horizontal="left" vertical="center" textRotation="0" wrapText="false" indent="0" shrinkToFit="false"/>
      <protection locked="true" hidden="false"/>
    </xf>
    <xf numFmtId="169" fontId="17" fillId="2" borderId="1" xfId="0" applyFont="true" applyBorder="true" applyAlignment="true" applyProtection="true">
      <alignment horizontal="left" vertical="center" textRotation="0" wrapText="false" indent="0" shrinkToFit="false"/>
      <protection locked="true" hidden="false"/>
    </xf>
    <xf numFmtId="164" fontId="18" fillId="0" borderId="15" xfId="0" applyFont="true" applyBorder="true" applyAlignment="true" applyProtection="true">
      <alignment horizontal="left" vertical="center" textRotation="0" wrapText="false" indent="0" shrinkToFit="false"/>
      <protection locked="true" hidden="false"/>
    </xf>
    <xf numFmtId="164" fontId="18" fillId="0" borderId="16" xfId="0" applyFont="true" applyBorder="true" applyAlignment="true" applyProtection="true">
      <alignment horizontal="left" vertical="center" textRotation="0" wrapText="false" indent="0" shrinkToFit="false"/>
      <protection locked="true" hidden="false"/>
    </xf>
    <xf numFmtId="164" fontId="18" fillId="0" borderId="17" xfId="0" applyFont="true" applyBorder="true" applyAlignment="true" applyProtection="true">
      <alignment horizontal="left" vertical="center" textRotation="0" wrapText="false" indent="0" shrinkToFit="false"/>
      <protection locked="true" hidden="false"/>
    </xf>
    <xf numFmtId="164" fontId="18" fillId="0" borderId="18" xfId="0" applyFont="true" applyBorder="true" applyAlignment="true" applyProtection="true">
      <alignment horizontal="left" vertical="center" textRotation="0" wrapText="false" indent="0" shrinkToFit="false"/>
      <protection locked="true" hidden="false"/>
    </xf>
    <xf numFmtId="164" fontId="18" fillId="0" borderId="19" xfId="0" applyFont="true" applyBorder="true" applyAlignment="true" applyProtection="true">
      <alignment horizontal="left" vertical="center" textRotation="0" wrapText="false" indent="0" shrinkToFit="false"/>
      <protection locked="true" hidden="false"/>
    </xf>
    <xf numFmtId="164" fontId="18" fillId="0" borderId="20" xfId="0" applyFont="true" applyBorder="true" applyAlignment="true" applyProtection="true">
      <alignment horizontal="left" vertical="center" textRotation="0" wrapText="false" indent="0" shrinkToFit="false"/>
      <protection locked="true" hidden="false"/>
    </xf>
    <xf numFmtId="164" fontId="19" fillId="0" borderId="0" xfId="0" applyFont="true" applyBorder="true" applyAlignment="true" applyProtection="true">
      <alignment horizontal="general" vertical="bottom" textRotation="0" wrapText="true" indent="0" shrinkToFit="false"/>
      <protection locked="true" hidden="false"/>
    </xf>
    <xf numFmtId="164" fontId="20" fillId="0" borderId="0" xfId="0" applyFont="true" applyBorder="true" applyAlignment="true" applyProtection="true">
      <alignment horizontal="general" vertical="bottom" textRotation="0" wrapText="true" indent="0" shrinkToFit="false"/>
      <protection locked="true" hidden="false"/>
    </xf>
    <xf numFmtId="164" fontId="21" fillId="0" borderId="0" xfId="0" applyFont="true" applyBorder="false" applyAlignment="true" applyProtection="true">
      <alignment horizontal="general" vertical="bottom" textRotation="0" wrapText="true" indent="0" shrinkToFit="false"/>
      <protection locked="true" hidden="false"/>
    </xf>
    <xf numFmtId="164" fontId="21"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true" applyAlignment="true" applyProtection="true">
      <alignment horizontal="left" vertical="center" textRotation="0" wrapText="false" indent="0" shrinkToFit="false"/>
      <protection locked="true" hidden="false"/>
    </xf>
    <xf numFmtId="164" fontId="6" fillId="0" borderId="21" xfId="0" applyFont="true" applyBorder="true" applyAlignment="true" applyProtection="true">
      <alignment horizontal="left" vertical="center" textRotation="0" wrapText="false" indent="0" shrinkToFit="false"/>
      <protection locked="true" hidden="false"/>
    </xf>
    <xf numFmtId="164" fontId="6" fillId="0" borderId="22" xfId="0" applyFont="true" applyBorder="true" applyAlignment="true" applyProtection="true">
      <alignment horizontal="right" vertical="center" textRotation="0" wrapText="false" indent="0" shrinkToFit="false"/>
      <protection locked="true" hidden="false"/>
    </xf>
    <xf numFmtId="164" fontId="5" fillId="0" borderId="12" xfId="0" applyFont="true" applyBorder="true" applyAlignment="true" applyProtection="true">
      <alignment horizontal="left" vertical="center" textRotation="0" wrapText="false" indent="0" shrinkToFit="false"/>
      <protection locked="true" hidden="false"/>
    </xf>
    <xf numFmtId="168" fontId="5" fillId="0" borderId="8" xfId="0" applyFont="true" applyBorder="true" applyAlignment="true" applyProtection="true">
      <alignment horizontal="right" vertical="center" textRotation="0" wrapText="false" indent="0" shrinkToFit="false"/>
      <protection locked="true" hidden="false"/>
    </xf>
    <xf numFmtId="164" fontId="5" fillId="0" borderId="8" xfId="0" applyFont="true" applyBorder="true" applyAlignment="true" applyProtection="true">
      <alignment horizontal="left" vertical="center" textRotation="0" wrapText="false" indent="0" shrinkToFit="false"/>
      <protection locked="true" hidden="false"/>
    </xf>
    <xf numFmtId="164" fontId="5" fillId="0" borderId="11" xfId="0" applyFont="true" applyBorder="true" applyAlignment="true" applyProtection="true">
      <alignment horizontal="left" vertical="center" textRotation="0" wrapText="false" indent="0" shrinkToFit="false"/>
      <protection locked="true" hidden="false"/>
    </xf>
    <xf numFmtId="168" fontId="5" fillId="0" borderId="6" xfId="0" applyFont="true" applyBorder="true" applyAlignment="true" applyProtection="true">
      <alignment horizontal="right" vertical="center" textRotation="0" wrapText="false" indent="0" shrinkToFit="false"/>
      <protection locked="true" hidden="false"/>
    </xf>
    <xf numFmtId="164" fontId="6" fillId="0" borderId="23" xfId="0" applyFont="true" applyBorder="true" applyAlignment="true" applyProtection="true">
      <alignment horizontal="left" vertical="center" textRotation="0" wrapText="false" indent="0" shrinkToFit="false"/>
      <protection locked="true" hidden="false"/>
    </xf>
    <xf numFmtId="164" fontId="6" fillId="0" borderId="24" xfId="0" applyFont="true" applyBorder="true" applyAlignment="true" applyProtection="true">
      <alignment horizontal="left" vertical="center" textRotation="0" wrapText="false" indent="0" shrinkToFit="false"/>
      <protection locked="true" hidden="false"/>
    </xf>
    <xf numFmtId="164" fontId="6" fillId="0" borderId="24" xfId="0" applyFont="true" applyBorder="true" applyAlignment="true" applyProtection="true">
      <alignment horizontal="right" vertical="center" textRotation="0" wrapText="false" indent="0" shrinkToFit="false"/>
      <protection locked="true" hidden="false"/>
    </xf>
    <xf numFmtId="168" fontId="6" fillId="0" borderId="24" xfId="0" applyFont="true" applyBorder="true" applyAlignment="true" applyProtection="true">
      <alignment horizontal="right" vertical="center" textRotation="0" wrapText="false" indent="0" shrinkToFit="false"/>
      <protection locked="true" hidden="false"/>
    </xf>
    <xf numFmtId="164" fontId="17" fillId="0" borderId="23" xfId="0" applyFont="true" applyBorder="true" applyAlignment="true" applyProtection="true">
      <alignment horizontal="left" vertical="center" textRotation="0" wrapText="false" indent="0" shrinkToFit="false"/>
      <protection locked="true" hidden="false"/>
    </xf>
    <xf numFmtId="168" fontId="17" fillId="0" borderId="24" xfId="0" applyFont="true" applyBorder="true" applyAlignment="true" applyProtection="true">
      <alignment horizontal="right" vertical="center" textRotation="0" wrapText="false" indent="0" shrinkToFit="false"/>
      <protection locked="true" hidden="false"/>
    </xf>
    <xf numFmtId="165" fontId="13" fillId="0" borderId="1" xfId="0" applyFont="true" applyBorder="true" applyAlignment="true" applyProtection="true">
      <alignment horizontal="center" vertical="bottom" textRotation="0" wrapText="false" indent="0" shrinkToFit="false"/>
      <protection locked="true" hidden="false"/>
    </xf>
    <xf numFmtId="164" fontId="5" fillId="0" borderId="4" xfId="0" applyFont="true" applyBorder="true" applyAlignment="true" applyProtection="true">
      <alignment horizontal="left" vertical="center" textRotation="0" wrapText="true" indent="0" shrinkToFit="false"/>
      <protection locked="true" hidden="false"/>
    </xf>
    <xf numFmtId="164" fontId="5" fillId="0" borderId="6" xfId="0" applyFont="true" applyBorder="true" applyAlignment="true" applyProtection="true">
      <alignment horizontal="left" vertical="center" textRotation="0" wrapText="true" indent="0" shrinkToFit="false"/>
      <protection locked="true" hidden="false"/>
    </xf>
    <xf numFmtId="164" fontId="5" fillId="0" borderId="25" xfId="0" applyFont="true" applyBorder="true" applyAlignment="true" applyProtection="true">
      <alignment horizontal="left" vertical="center" textRotation="0" wrapText="false" indent="0" shrinkToFit="false"/>
      <protection locked="true" hidden="false"/>
    </xf>
    <xf numFmtId="164" fontId="5" fillId="0" borderId="26" xfId="0" applyFont="true" applyBorder="true" applyAlignment="true" applyProtection="true">
      <alignment horizontal="left" vertical="center" textRotation="0" wrapText="false" indent="0" shrinkToFit="false"/>
      <protection locked="true" hidden="false"/>
    </xf>
    <xf numFmtId="164" fontId="6" fillId="0" borderId="21" xfId="0" applyFont="true" applyBorder="true" applyAlignment="true" applyProtection="true">
      <alignment horizontal="center" vertical="center" textRotation="0" wrapText="false" indent="0" shrinkToFit="false"/>
      <protection locked="true" hidden="false"/>
    </xf>
    <xf numFmtId="164" fontId="6" fillId="0" borderId="22" xfId="0" applyFont="true" applyBorder="true" applyAlignment="true" applyProtection="true">
      <alignment horizontal="center" vertical="center" textRotation="0" wrapText="false" indent="0" shrinkToFit="false"/>
      <protection locked="true" hidden="false"/>
    </xf>
    <xf numFmtId="164" fontId="6" fillId="0" borderId="27" xfId="0" applyFont="true" applyBorder="true" applyAlignment="true" applyProtection="true">
      <alignment horizontal="left" vertical="center" textRotation="0" wrapText="false" indent="0" shrinkToFit="false"/>
      <protection locked="true" hidden="false"/>
    </xf>
    <xf numFmtId="164" fontId="6" fillId="0" borderId="28" xfId="0" applyFont="true" applyBorder="true" applyAlignment="true" applyProtection="true">
      <alignment horizontal="left" vertical="center" textRotation="0" wrapText="false" indent="0" shrinkToFit="false"/>
      <protection locked="true" hidden="false"/>
    </xf>
    <xf numFmtId="164" fontId="6" fillId="0" borderId="27" xfId="0" applyFont="true" applyBorder="true" applyAlignment="true" applyProtection="true">
      <alignment horizontal="center" vertical="center" textRotation="0" wrapText="false" indent="0" shrinkToFit="false"/>
      <protection locked="true" hidden="false"/>
    </xf>
    <xf numFmtId="164" fontId="6" fillId="0" borderId="29" xfId="0" applyFont="true" applyBorder="true" applyAlignment="true" applyProtection="true">
      <alignment horizontal="center" vertical="center" textRotation="0" wrapText="false" indent="0" shrinkToFit="false"/>
      <protection locked="true" hidden="false"/>
    </xf>
    <xf numFmtId="164" fontId="6" fillId="0" borderId="20" xfId="0" applyFont="true" applyBorder="true" applyAlignment="true" applyProtection="true">
      <alignment horizontal="center" vertical="center" textRotation="0" wrapText="false" indent="0" shrinkToFit="false"/>
      <protection locked="true" hidden="false"/>
    </xf>
    <xf numFmtId="164" fontId="5" fillId="3" borderId="9" xfId="0" applyFont="true" applyBorder="true" applyAlignment="true" applyProtection="true">
      <alignment horizontal="left" vertical="center" textRotation="0" wrapText="false" indent="0" shrinkToFit="false"/>
      <protection locked="true" hidden="false"/>
    </xf>
    <xf numFmtId="164" fontId="22" fillId="3" borderId="9" xfId="0" applyFont="true" applyBorder="true" applyAlignment="true" applyProtection="true">
      <alignment horizontal="left" vertical="center" textRotation="0" wrapText="false" indent="0" shrinkToFit="false"/>
      <protection locked="true" hidden="false"/>
    </xf>
    <xf numFmtId="168" fontId="5" fillId="3" borderId="9" xfId="0" applyFont="true" applyBorder="true" applyAlignment="true" applyProtection="true">
      <alignment horizontal="right" vertical="center" textRotation="0" wrapText="false" indent="0" shrinkToFit="false"/>
      <protection locked="true" hidden="false"/>
    </xf>
    <xf numFmtId="164" fontId="5" fillId="0" borderId="0" xfId="0" applyFont="true" applyBorder="true" applyAlignment="true" applyProtection="true">
      <alignment horizontal="right" vertical="center" textRotation="0" wrapText="false" indent="0" shrinkToFit="false"/>
      <protection locked="true" hidden="false"/>
    </xf>
    <xf numFmtId="168" fontId="5" fillId="0" borderId="0" xfId="0" applyFont="true" applyBorder="true" applyAlignment="true" applyProtection="true">
      <alignment horizontal="right" vertical="center" textRotation="0" wrapText="false" indent="0" shrinkToFit="false"/>
      <protection locked="true" hidden="false"/>
    </xf>
    <xf numFmtId="164" fontId="5" fillId="4" borderId="9" xfId="0" applyFont="true" applyBorder="true" applyAlignment="true" applyProtection="true">
      <alignment horizontal="left" vertical="center" textRotation="0" wrapText="false" indent="0" shrinkToFit="false"/>
      <protection locked="true" hidden="false"/>
    </xf>
    <xf numFmtId="164" fontId="22" fillId="4" borderId="9" xfId="0" applyFont="true" applyBorder="true" applyAlignment="true" applyProtection="true">
      <alignment horizontal="left" vertical="center" textRotation="0" wrapText="false" indent="0" shrinkToFit="false"/>
      <protection locked="true" hidden="false"/>
    </xf>
    <xf numFmtId="168" fontId="5" fillId="4" borderId="9" xfId="0" applyFont="true" applyBorder="true" applyAlignment="true" applyProtection="true">
      <alignment horizontal="right" vertical="center" textRotation="0" wrapText="false" indent="0" shrinkToFit="false"/>
      <protection locked="true" hidden="false"/>
    </xf>
    <xf numFmtId="164" fontId="5" fillId="5" borderId="9" xfId="0" applyFont="true" applyBorder="true" applyAlignment="true" applyProtection="true">
      <alignment horizontal="left" vertical="center" textRotation="0" wrapText="false" indent="0" shrinkToFit="false"/>
      <protection locked="true" hidden="false"/>
    </xf>
    <xf numFmtId="164" fontId="22" fillId="5" borderId="9" xfId="0" applyFont="true" applyBorder="true" applyAlignment="true" applyProtection="true">
      <alignment horizontal="left" vertical="center" textRotation="0" wrapText="false" indent="0" shrinkToFit="false"/>
      <protection locked="true" hidden="false"/>
    </xf>
    <xf numFmtId="168" fontId="5" fillId="5" borderId="9" xfId="0" applyFont="true" applyBorder="true" applyAlignment="true" applyProtection="true">
      <alignment horizontal="right" vertical="center" textRotation="0" wrapText="false" indent="0" shrinkToFit="false"/>
      <protection locked="true" hidden="false"/>
    </xf>
    <xf numFmtId="164" fontId="5" fillId="6" borderId="9" xfId="0" applyFont="true" applyBorder="true" applyAlignment="true" applyProtection="true">
      <alignment horizontal="left" vertical="center" textRotation="0" wrapText="false" indent="0" shrinkToFit="false"/>
      <protection locked="true" hidden="false"/>
    </xf>
    <xf numFmtId="164" fontId="22" fillId="6" borderId="9" xfId="0" applyFont="true" applyBorder="true" applyAlignment="true" applyProtection="true">
      <alignment horizontal="left" vertical="center" textRotation="0" wrapText="false" indent="0" shrinkToFit="false"/>
      <protection locked="true" hidden="false"/>
    </xf>
    <xf numFmtId="168" fontId="5" fillId="6" borderId="9" xfId="0" applyFont="true" applyBorder="true" applyAlignment="true" applyProtection="true">
      <alignment horizontal="right" vertical="center" textRotation="0" wrapText="false" indent="0" shrinkToFit="false"/>
      <protection locked="true" hidden="false"/>
    </xf>
    <xf numFmtId="164" fontId="5" fillId="7" borderId="9" xfId="0" applyFont="true" applyBorder="true" applyAlignment="true" applyProtection="true">
      <alignment horizontal="left" vertical="center" textRotation="0" wrapText="false" indent="0" shrinkToFit="false"/>
      <protection locked="true" hidden="false"/>
    </xf>
    <xf numFmtId="164" fontId="22" fillId="7" borderId="9" xfId="0" applyFont="true" applyBorder="true" applyAlignment="true" applyProtection="true">
      <alignment horizontal="left" vertical="center" textRotation="0" wrapText="false" indent="0" shrinkToFit="false"/>
      <protection locked="true" hidden="false"/>
    </xf>
    <xf numFmtId="168" fontId="5" fillId="7" borderId="9" xfId="0" applyFont="true" applyBorder="true" applyAlignment="true" applyProtection="true">
      <alignment horizontal="right" vertical="center"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8" fontId="6" fillId="0" borderId="0" xfId="0" applyFont="true" applyBorder="true" applyAlignment="true" applyProtection="true">
      <alignment horizontal="right" vertical="center" textRotation="0" wrapText="false" indent="0" shrinkToFit="false"/>
      <protection locked="true" hidden="false"/>
    </xf>
    <xf numFmtId="164" fontId="11" fillId="0" borderId="0" xfId="0" applyFont="true" applyBorder="true" applyAlignment="true" applyProtection="true">
      <alignment horizontal="general" vertical="bottom" textRotation="0" wrapText="true" indent="0" shrinkToFit="false"/>
      <protection locked="true" hidden="false"/>
    </xf>
    <xf numFmtId="170" fontId="11" fillId="0" borderId="0" xfId="0" applyFont="true" applyBorder="true" applyAlignment="true" applyProtection="true">
      <alignment horizontal="general" vertical="bottom" textRotation="0" wrapText="false" indent="0" shrinkToFit="false"/>
      <protection locked="true" hidden="false"/>
    </xf>
    <xf numFmtId="165" fontId="13" fillId="0" borderId="1" xfId="0" applyFont="true" applyBorder="true" applyAlignment="true" applyProtection="true">
      <alignment horizontal="left" vertical="bottom" textRotation="0" wrapText="false" indent="0" shrinkToFit="false"/>
      <protection locked="true" hidden="false"/>
    </xf>
    <xf numFmtId="164" fontId="13" fillId="0" borderId="0" xfId="0" applyFont="true" applyBorder="true" applyAlignment="true" applyProtection="true">
      <alignment horizontal="center" vertical="center" textRotation="0" wrapText="false" indent="0" shrinkToFit="false"/>
      <protection locked="true" hidden="false"/>
    </xf>
    <xf numFmtId="168" fontId="6" fillId="2" borderId="0" xfId="0" applyFont="true" applyBorder="true" applyAlignment="true" applyProtection="true">
      <alignment horizontal="right" vertical="center" textRotation="0" wrapText="false" indent="0" shrinkToFit="false"/>
      <protection locked="true" hidden="false"/>
    </xf>
    <xf numFmtId="164" fontId="5" fillId="0" borderId="3" xfId="0" applyFont="true" applyBorder="true" applyAlignment="true" applyProtection="true">
      <alignment horizontal="left" vertical="center" textRotation="0" wrapText="false" indent="0" shrinkToFit="false"/>
      <protection locked="true" hidden="false"/>
    </xf>
    <xf numFmtId="164" fontId="6" fillId="0" borderId="30" xfId="0" applyFont="true" applyBorder="true" applyAlignment="true" applyProtection="true">
      <alignment horizontal="left" vertical="center" textRotation="0" wrapText="false" indent="0" shrinkToFit="false"/>
      <protection locked="true" hidden="false"/>
    </xf>
    <xf numFmtId="164" fontId="6" fillId="0" borderId="31" xfId="0" applyFont="true" applyBorder="true" applyAlignment="true" applyProtection="true">
      <alignment horizontal="left" vertical="center" textRotation="0" wrapText="false" indent="0" shrinkToFit="false"/>
      <protection locked="true" hidden="false"/>
    </xf>
    <xf numFmtId="164" fontId="6" fillId="0" borderId="31" xfId="0" applyFont="true" applyBorder="true" applyAlignment="true" applyProtection="true">
      <alignment horizontal="left" vertical="center" textRotation="0" wrapText="true" indent="0" shrinkToFit="false"/>
      <protection locked="true" hidden="false"/>
    </xf>
    <xf numFmtId="170" fontId="6" fillId="0" borderId="31" xfId="0" applyFont="true" applyBorder="true" applyAlignment="true" applyProtection="true">
      <alignment horizontal="center" vertical="center" textRotation="0" wrapText="false" indent="0" shrinkToFit="false"/>
      <protection locked="true" hidden="false"/>
    </xf>
    <xf numFmtId="164" fontId="6" fillId="0" borderId="26" xfId="0" applyFont="true" applyBorder="true" applyAlignment="true" applyProtection="true">
      <alignment horizontal="center" vertical="center" textRotation="0" wrapText="false" indent="0" shrinkToFit="false"/>
      <protection locked="true" hidden="false"/>
    </xf>
    <xf numFmtId="164" fontId="6" fillId="0" borderId="32" xfId="0" applyFont="true" applyBorder="true" applyAlignment="true" applyProtection="true">
      <alignment horizontal="center" vertical="center" textRotation="0" wrapText="false" indent="0" shrinkToFit="false"/>
      <protection locked="true" hidden="false"/>
    </xf>
    <xf numFmtId="164" fontId="6" fillId="0" borderId="25" xfId="0" applyFont="true" applyBorder="true" applyAlignment="true" applyProtection="true">
      <alignment horizontal="center" vertical="center" textRotation="0" wrapText="false" indent="0" shrinkToFit="false"/>
      <protection locked="true" hidden="false"/>
    </xf>
    <xf numFmtId="164" fontId="6" fillId="2" borderId="0" xfId="0" applyFont="true" applyBorder="true" applyAlignment="true" applyProtection="true">
      <alignment horizontal="right" vertical="center" textRotation="0" wrapText="false" indent="0" shrinkToFit="false"/>
      <protection locked="true" hidden="false"/>
    </xf>
    <xf numFmtId="164" fontId="6" fillId="0" borderId="0" xfId="0" applyFont="true" applyBorder="true" applyAlignment="true" applyProtection="true">
      <alignment horizontal="right" vertical="center" textRotation="0" wrapText="false" indent="0" shrinkToFit="false"/>
      <protection locked="true" hidden="false"/>
    </xf>
    <xf numFmtId="164" fontId="5" fillId="0" borderId="33" xfId="0" applyFont="true" applyBorder="true" applyAlignment="true" applyProtection="true">
      <alignment horizontal="left" vertical="center" textRotation="0" wrapText="false" indent="0" shrinkToFit="false"/>
      <protection locked="true" hidden="false"/>
    </xf>
    <xf numFmtId="164" fontId="5" fillId="0" borderId="29" xfId="0" applyFont="true" applyBorder="true" applyAlignment="true" applyProtection="true">
      <alignment horizontal="left" vertical="center" textRotation="0" wrapText="false" indent="0" shrinkToFit="false"/>
      <protection locked="true" hidden="false"/>
    </xf>
    <xf numFmtId="164" fontId="6" fillId="0" borderId="29" xfId="0" applyFont="true" applyBorder="true" applyAlignment="true" applyProtection="true">
      <alignment horizontal="left" vertical="center" textRotation="0" wrapText="true" indent="0" shrinkToFit="false"/>
      <protection locked="true" hidden="false"/>
    </xf>
    <xf numFmtId="170" fontId="5" fillId="0" borderId="29" xfId="0" applyFont="true" applyBorder="true" applyAlignment="true" applyProtection="true">
      <alignment horizontal="left" vertical="center" textRotation="0" wrapText="false" indent="0" shrinkToFit="false"/>
      <protection locked="true" hidden="false"/>
    </xf>
    <xf numFmtId="164" fontId="6" fillId="0" borderId="28" xfId="0" applyFont="true" applyBorder="true" applyAlignment="true" applyProtection="true">
      <alignment horizontal="center" vertical="center" textRotation="0" wrapText="false" indent="0" shrinkToFit="false"/>
      <protection locked="true" hidden="false"/>
    </xf>
    <xf numFmtId="164" fontId="6" fillId="3" borderId="9" xfId="0" applyFont="true" applyBorder="true" applyAlignment="true" applyProtection="true">
      <alignment horizontal="left" vertical="center" textRotation="0" wrapText="false" indent="0" shrinkToFit="false"/>
      <protection locked="true" hidden="false"/>
    </xf>
    <xf numFmtId="164" fontId="23" fillId="3" borderId="9" xfId="0" applyFont="true" applyBorder="true" applyAlignment="true" applyProtection="true">
      <alignment horizontal="left" vertical="center" textRotation="0" wrapText="true" indent="0" shrinkToFit="false"/>
      <protection locked="true" hidden="false"/>
    </xf>
    <xf numFmtId="170" fontId="5" fillId="3" borderId="9" xfId="0" applyFont="true" applyBorder="true" applyAlignment="true" applyProtection="true">
      <alignment horizontal="left" vertical="center" textRotation="0" wrapText="false" indent="0" shrinkToFit="false"/>
      <protection locked="true" hidden="false"/>
    </xf>
    <xf numFmtId="168" fontId="6" fillId="3" borderId="9" xfId="0" applyFont="true" applyBorder="true" applyAlignment="true" applyProtection="true">
      <alignment horizontal="right" vertical="center" textRotation="0" wrapText="false" indent="0" shrinkToFit="false"/>
      <protection locked="true" hidden="false"/>
    </xf>
    <xf numFmtId="164" fontId="6" fillId="3" borderId="9" xfId="0" applyFont="true" applyBorder="true" applyAlignment="true" applyProtection="true">
      <alignment horizontal="right" vertical="center" textRotation="0" wrapText="false" indent="0" shrinkToFit="false"/>
      <protection locked="true" hidden="false"/>
    </xf>
    <xf numFmtId="164" fontId="5" fillId="2" borderId="9" xfId="0" applyFont="true" applyBorder="true" applyAlignment="true" applyProtection="true">
      <alignment horizontal="left" vertical="center" textRotation="0" wrapText="false" indent="0" shrinkToFit="false"/>
      <protection locked="true" hidden="false"/>
    </xf>
    <xf numFmtId="164" fontId="6" fillId="2" borderId="9" xfId="0" applyFont="true" applyBorder="true" applyAlignment="true" applyProtection="true">
      <alignment horizontal="left" vertical="center" textRotation="0" wrapText="false" indent="0" shrinkToFit="false"/>
      <protection locked="true" hidden="false"/>
    </xf>
    <xf numFmtId="164" fontId="6" fillId="2" borderId="9" xfId="0" applyFont="true" applyBorder="true" applyAlignment="true" applyProtection="true">
      <alignment horizontal="left" vertical="center" textRotation="0" wrapText="true" indent="0" shrinkToFit="false"/>
      <protection locked="true" hidden="false"/>
    </xf>
    <xf numFmtId="170" fontId="5" fillId="2" borderId="9" xfId="0" applyFont="true" applyBorder="true" applyAlignment="true" applyProtection="true">
      <alignment horizontal="left" vertical="center" textRotation="0" wrapText="false" indent="0" shrinkToFit="false"/>
      <protection locked="true" hidden="false"/>
    </xf>
    <xf numFmtId="168" fontId="6" fillId="2" borderId="9" xfId="0" applyFont="true" applyBorder="true" applyAlignment="true" applyProtection="true">
      <alignment horizontal="right" vertical="center" textRotation="0" wrapText="false" indent="0" shrinkToFit="false"/>
      <protection locked="true" hidden="false"/>
    </xf>
    <xf numFmtId="164" fontId="6" fillId="2" borderId="9" xfId="0" applyFont="true" applyBorder="true" applyAlignment="true" applyProtection="true">
      <alignment horizontal="right" vertical="center" textRotation="0" wrapText="false" indent="0" shrinkToFit="false"/>
      <protection locked="true" hidden="false"/>
    </xf>
    <xf numFmtId="164" fontId="5" fillId="0" borderId="9" xfId="0" applyFont="true" applyBorder="true" applyAlignment="true" applyProtection="true">
      <alignment horizontal="left" vertical="center" textRotation="0" wrapText="false" indent="0" shrinkToFit="false"/>
      <protection locked="true" hidden="false"/>
    </xf>
    <xf numFmtId="164" fontId="5" fillId="0" borderId="9" xfId="0" applyFont="true" applyBorder="true" applyAlignment="true" applyProtection="true">
      <alignment horizontal="left" vertical="center" textRotation="0" wrapText="true" indent="0" shrinkToFit="false"/>
      <protection locked="true" hidden="false"/>
    </xf>
    <xf numFmtId="170" fontId="5" fillId="0" borderId="9" xfId="0" applyFont="true" applyBorder="true" applyAlignment="true" applyProtection="true">
      <alignment horizontal="right" vertical="center" textRotation="0" wrapText="false" indent="0" shrinkToFit="false"/>
      <protection locked="true" hidden="false"/>
    </xf>
    <xf numFmtId="168" fontId="5" fillId="0" borderId="9" xfId="0" applyFont="true" applyBorder="true" applyAlignment="true" applyProtection="true">
      <alignment horizontal="right" vertical="center" textRotation="0" wrapText="false" indent="0" shrinkToFit="false"/>
      <protection locked="true" hidden="false"/>
    </xf>
    <xf numFmtId="164" fontId="5" fillId="0" borderId="9" xfId="0" applyFont="true" applyBorder="true" applyAlignment="true" applyProtection="true">
      <alignment horizontal="right" vertical="center" textRotation="0" wrapText="false" indent="0" shrinkToFit="false"/>
      <protection locked="true" hidden="false"/>
    </xf>
    <xf numFmtId="164" fontId="24" fillId="0" borderId="9" xfId="0" applyFont="true" applyBorder="true" applyAlignment="true" applyProtection="true">
      <alignment horizontal="left" vertical="center" textRotation="0" wrapText="false" indent="0" shrinkToFit="false"/>
      <protection locked="true" hidden="false"/>
    </xf>
    <xf numFmtId="164" fontId="24" fillId="0" borderId="9" xfId="0" applyFont="true" applyBorder="true" applyAlignment="true" applyProtection="true">
      <alignment horizontal="left" vertical="center" textRotation="0" wrapText="true" indent="0" shrinkToFit="false"/>
      <protection locked="true" hidden="false"/>
    </xf>
    <xf numFmtId="170" fontId="24" fillId="0" borderId="9" xfId="0" applyFont="true" applyBorder="true" applyAlignment="true" applyProtection="true">
      <alignment horizontal="right" vertical="center" textRotation="0" wrapText="false" indent="0" shrinkToFit="false"/>
      <protection locked="true" hidden="false"/>
    </xf>
    <xf numFmtId="168" fontId="24" fillId="0" borderId="9" xfId="0" applyFont="true" applyBorder="true" applyAlignment="true" applyProtection="true">
      <alignment horizontal="right" vertical="center" textRotation="0" wrapText="false" indent="0" shrinkToFit="false"/>
      <protection locked="true" hidden="false"/>
    </xf>
    <xf numFmtId="164" fontId="24" fillId="0" borderId="9" xfId="0" applyFont="true" applyBorder="true" applyAlignment="true" applyProtection="true">
      <alignment horizontal="right" vertical="center" textRotation="0" wrapText="false" indent="0" shrinkToFit="false"/>
      <protection locked="true" hidden="false"/>
    </xf>
    <xf numFmtId="168" fontId="24" fillId="0" borderId="0" xfId="0" applyFont="true" applyBorder="true" applyAlignment="true" applyProtection="true">
      <alignment horizontal="right" vertical="center" textRotation="0" wrapText="false" indent="0" shrinkToFit="false"/>
      <protection locked="true" hidden="false"/>
    </xf>
    <xf numFmtId="164" fontId="24" fillId="0" borderId="0" xfId="0" applyFont="true" applyBorder="true" applyAlignment="true" applyProtection="true">
      <alignment horizontal="right" vertical="center" textRotation="0" wrapText="false" indent="0" shrinkToFit="false"/>
      <protection locked="true" hidden="false"/>
    </xf>
    <xf numFmtId="164" fontId="24" fillId="0" borderId="0" xfId="0" applyFont="true" applyBorder="true" applyAlignment="true" applyProtection="true">
      <alignment horizontal="left" vertical="center" textRotation="0" wrapText="true" indent="0" shrinkToFit="false"/>
      <protection locked="true" hidden="false"/>
    </xf>
    <xf numFmtId="164" fontId="6" fillId="4" borderId="9" xfId="0" applyFont="true" applyBorder="true" applyAlignment="true" applyProtection="true">
      <alignment horizontal="left" vertical="center" textRotation="0" wrapText="false" indent="0" shrinkToFit="false"/>
      <protection locked="true" hidden="false"/>
    </xf>
    <xf numFmtId="164" fontId="23" fillId="4" borderId="9" xfId="0" applyFont="true" applyBorder="true" applyAlignment="true" applyProtection="true">
      <alignment horizontal="left" vertical="center" textRotation="0" wrapText="true" indent="0" shrinkToFit="false"/>
      <protection locked="true" hidden="false"/>
    </xf>
    <xf numFmtId="170" fontId="5" fillId="4" borderId="9" xfId="0" applyFont="true" applyBorder="true" applyAlignment="true" applyProtection="true">
      <alignment horizontal="left" vertical="center" textRotation="0" wrapText="false" indent="0" shrinkToFit="false"/>
      <protection locked="true" hidden="false"/>
    </xf>
    <xf numFmtId="168" fontId="6" fillId="4" borderId="9" xfId="0" applyFont="true" applyBorder="true" applyAlignment="true" applyProtection="true">
      <alignment horizontal="right" vertical="center" textRotation="0" wrapText="false" indent="0" shrinkToFit="false"/>
      <protection locked="true" hidden="false"/>
    </xf>
    <xf numFmtId="164" fontId="6" fillId="4" borderId="9" xfId="0" applyFont="true" applyBorder="true" applyAlignment="true" applyProtection="true">
      <alignment horizontal="right" vertical="center" textRotation="0" wrapText="false" indent="0" shrinkToFit="false"/>
      <protection locked="true" hidden="false"/>
    </xf>
    <xf numFmtId="164" fontId="6" fillId="5" borderId="9" xfId="0" applyFont="true" applyBorder="true" applyAlignment="true" applyProtection="true">
      <alignment horizontal="left" vertical="center" textRotation="0" wrapText="false" indent="0" shrinkToFit="false"/>
      <protection locked="true" hidden="false"/>
    </xf>
    <xf numFmtId="164" fontId="23" fillId="5" borderId="9" xfId="0" applyFont="true" applyBorder="true" applyAlignment="true" applyProtection="true">
      <alignment horizontal="left" vertical="center" textRotation="0" wrapText="true" indent="0" shrinkToFit="false"/>
      <protection locked="true" hidden="false"/>
    </xf>
    <xf numFmtId="170" fontId="5" fillId="5" borderId="9" xfId="0" applyFont="true" applyBorder="true" applyAlignment="true" applyProtection="true">
      <alignment horizontal="left" vertical="center" textRotation="0" wrapText="false" indent="0" shrinkToFit="false"/>
      <protection locked="true" hidden="false"/>
    </xf>
    <xf numFmtId="168" fontId="6" fillId="5" borderId="9" xfId="0" applyFont="true" applyBorder="true" applyAlignment="true" applyProtection="true">
      <alignment horizontal="right" vertical="center" textRotation="0" wrapText="false" indent="0" shrinkToFit="false"/>
      <protection locked="true" hidden="false"/>
    </xf>
    <xf numFmtId="164" fontId="6" fillId="5" borderId="9" xfId="0" applyFont="true" applyBorder="true" applyAlignment="true" applyProtection="true">
      <alignment horizontal="right" vertical="center" textRotation="0" wrapText="false" indent="0" shrinkToFit="false"/>
      <protection locked="true" hidden="false"/>
    </xf>
    <xf numFmtId="164" fontId="6" fillId="6" borderId="9" xfId="0" applyFont="true" applyBorder="true" applyAlignment="true" applyProtection="true">
      <alignment horizontal="left" vertical="center" textRotation="0" wrapText="false" indent="0" shrinkToFit="false"/>
      <protection locked="true" hidden="false"/>
    </xf>
    <xf numFmtId="164" fontId="23" fillId="6" borderId="9" xfId="0" applyFont="true" applyBorder="true" applyAlignment="true" applyProtection="true">
      <alignment horizontal="left" vertical="center" textRotation="0" wrapText="true" indent="0" shrinkToFit="false"/>
      <protection locked="true" hidden="false"/>
    </xf>
    <xf numFmtId="170" fontId="5" fillId="6" borderId="9" xfId="0" applyFont="true" applyBorder="true" applyAlignment="true" applyProtection="true">
      <alignment horizontal="left" vertical="center" textRotation="0" wrapText="false" indent="0" shrinkToFit="false"/>
      <protection locked="true" hidden="false"/>
    </xf>
    <xf numFmtId="168" fontId="6" fillId="6" borderId="9" xfId="0" applyFont="true" applyBorder="true" applyAlignment="true" applyProtection="true">
      <alignment horizontal="right" vertical="center" textRotation="0" wrapText="false" indent="0" shrinkToFit="false"/>
      <protection locked="true" hidden="false"/>
    </xf>
    <xf numFmtId="164" fontId="6" fillId="6" borderId="9" xfId="0" applyFont="true" applyBorder="true" applyAlignment="true" applyProtection="true">
      <alignment horizontal="right" vertical="center" textRotation="0" wrapText="false" indent="0" shrinkToFit="false"/>
      <protection locked="true" hidden="false"/>
    </xf>
    <xf numFmtId="164" fontId="6" fillId="7" borderId="9" xfId="0" applyFont="true" applyBorder="true" applyAlignment="true" applyProtection="true">
      <alignment horizontal="left" vertical="center" textRotation="0" wrapText="false" indent="0" shrinkToFit="false"/>
      <protection locked="true" hidden="false"/>
    </xf>
    <xf numFmtId="164" fontId="23" fillId="7" borderId="9" xfId="0" applyFont="true" applyBorder="true" applyAlignment="true" applyProtection="true">
      <alignment horizontal="left" vertical="center" textRotation="0" wrapText="true" indent="0" shrinkToFit="false"/>
      <protection locked="true" hidden="false"/>
    </xf>
    <xf numFmtId="170" fontId="5" fillId="7" borderId="9" xfId="0" applyFont="true" applyBorder="true" applyAlignment="true" applyProtection="true">
      <alignment horizontal="left" vertical="center" textRotation="0" wrapText="false" indent="0" shrinkToFit="false"/>
      <protection locked="true" hidden="false"/>
    </xf>
    <xf numFmtId="168" fontId="6" fillId="7" borderId="9" xfId="0" applyFont="true" applyBorder="true" applyAlignment="true" applyProtection="true">
      <alignment horizontal="right" vertical="center" textRotation="0" wrapText="false" indent="0" shrinkToFit="false"/>
      <protection locked="true" hidden="false"/>
    </xf>
    <xf numFmtId="164" fontId="6" fillId="7" borderId="9" xfId="0" applyFont="true" applyBorder="true" applyAlignment="true" applyProtection="true">
      <alignment horizontal="right" vertical="center" textRotation="0" wrapText="false" indent="0" shrinkToFit="false"/>
      <protection locked="true" hidden="false"/>
    </xf>
    <xf numFmtId="169" fontId="6" fillId="0" borderId="0" xfId="0" applyFont="true" applyBorder="true" applyAlignment="true" applyProtection="true">
      <alignment horizontal="right"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6" fillId="0" borderId="34" xfId="0" applyFont="true" applyBorder="true" applyAlignment="true" applyProtection="true">
      <alignment horizontal="left" vertical="center" textRotation="0" wrapText="false" indent="0" shrinkToFit="false"/>
      <protection locked="true" hidden="false"/>
    </xf>
    <xf numFmtId="164" fontId="6" fillId="0" borderId="35" xfId="0" applyFont="true" applyBorder="true" applyAlignment="true" applyProtection="true">
      <alignment horizontal="left" vertical="center" textRotation="0" wrapText="false" indent="0" shrinkToFit="false"/>
      <protection locked="true" hidden="false"/>
    </xf>
    <xf numFmtId="164" fontId="6" fillId="0" borderId="35" xfId="0" applyFont="true" applyBorder="true" applyAlignment="true" applyProtection="true">
      <alignment horizontal="left" vertical="center" textRotation="0" wrapText="true" indent="0" shrinkToFit="false"/>
      <protection locked="true" hidden="false"/>
    </xf>
    <xf numFmtId="164" fontId="6" fillId="0" borderId="36" xfId="0" applyFont="true" applyBorder="true" applyAlignment="true" applyProtection="true">
      <alignment horizontal="right" vertical="center" textRotation="0" wrapText="false" indent="0" shrinkToFit="false"/>
      <protection locked="true" hidden="false"/>
    </xf>
    <xf numFmtId="164" fontId="6" fillId="0" borderId="37" xfId="0" applyFont="true" applyBorder="true" applyAlignment="true" applyProtection="true">
      <alignment horizontal="left" vertical="center" textRotation="0" wrapText="false" indent="0" shrinkToFit="false"/>
      <protection locked="true" hidden="false"/>
    </xf>
    <xf numFmtId="164" fontId="11" fillId="0" borderId="9" xfId="0" applyFont="true" applyBorder="true" applyAlignment="true" applyProtection="true">
      <alignment horizontal="general" vertical="bottom" textRotation="0" wrapText="false" indent="0" shrinkToFit="false"/>
      <protection locked="true" hidden="false"/>
    </xf>
    <xf numFmtId="164" fontId="25" fillId="0" borderId="9" xfId="0" applyFont="true" applyBorder="true" applyAlignment="true" applyProtection="true">
      <alignment horizontal="left" vertical="center" textRotation="0" wrapText="true" indent="0" shrinkToFit="false"/>
      <protection locked="true" hidden="false"/>
    </xf>
    <xf numFmtId="164" fontId="25" fillId="0" borderId="9" xfId="0" applyFont="true" applyBorder="true" applyAlignment="true" applyProtection="true">
      <alignment horizontal="left" vertical="center" textRotation="0" wrapText="false" indent="0" shrinkToFit="false"/>
      <protection locked="true" hidden="false"/>
    </xf>
    <xf numFmtId="168" fontId="25" fillId="0" borderId="9" xfId="0" applyFont="true" applyBorder="true" applyAlignment="true" applyProtection="true">
      <alignment horizontal="right" vertical="center" textRotation="0" wrapText="false" indent="0" shrinkToFit="false"/>
      <protection locked="true" hidden="false"/>
    </xf>
    <xf numFmtId="168" fontId="26" fillId="0" borderId="9" xfId="0" applyFont="true" applyBorder="true" applyAlignment="true" applyProtection="true">
      <alignment horizontal="right" vertical="center" textRotation="0" wrapText="false" indent="0" shrinkToFit="false"/>
      <protection locked="true" hidden="false"/>
    </xf>
    <xf numFmtId="164" fontId="6" fillId="0" borderId="38" xfId="0" applyFont="true" applyBorder="true" applyAlignment="true" applyProtection="true">
      <alignment horizontal="left" vertical="center" textRotation="0" wrapText="false" indent="0" shrinkToFit="false"/>
      <protection locked="true" hidden="false"/>
    </xf>
    <xf numFmtId="164" fontId="6" fillId="0" borderId="38" xfId="0" applyFont="true" applyBorder="true" applyAlignment="true" applyProtection="true">
      <alignment horizontal="left" vertical="center" textRotation="0" wrapText="true" indent="0" shrinkToFit="false"/>
      <protection locked="true" hidden="false"/>
    </xf>
    <xf numFmtId="164" fontId="5" fillId="8" borderId="0" xfId="0" applyFont="true" applyBorder="true" applyAlignment="true" applyProtection="true">
      <alignment horizontal="left" vertical="center" textRotation="0" wrapText="false" indent="0" shrinkToFit="false"/>
      <protection locked="true" hidden="false"/>
    </xf>
    <xf numFmtId="166" fontId="5" fillId="0" borderId="9" xfId="0" applyFont="true" applyBorder="true" applyAlignment="true" applyProtection="true">
      <alignment horizontal="left" vertical="center" textRotation="0" wrapText="false" indent="0" shrinkToFit="false"/>
      <protection locked="true" hidden="false"/>
    </xf>
    <xf numFmtId="168" fontId="5" fillId="0" borderId="0" xfId="0" applyFont="true" applyBorder="true" applyAlignment="true" applyProtection="true">
      <alignment horizontal="left" vertical="center" textRotation="0" wrapText="false" indent="0" shrinkToFit="false"/>
      <protection locked="true" hidden="false"/>
    </xf>
    <xf numFmtId="166" fontId="24" fillId="0" borderId="9" xfId="0" applyFont="true" applyBorder="true" applyAlignment="true" applyProtection="true">
      <alignment horizontal="left" vertical="center" textRotation="0" wrapText="false" indent="0" shrinkToFit="false"/>
      <protection locked="true" hidden="false"/>
    </xf>
    <xf numFmtId="164" fontId="24" fillId="0" borderId="0" xfId="0" applyFont="true" applyBorder="true" applyAlignment="true" applyProtection="true">
      <alignment horizontal="left" vertical="center" textRotation="0" wrapText="false" indent="0" shrinkToFit="false"/>
      <protection locked="true" hidden="false"/>
    </xf>
    <xf numFmtId="168" fontId="24" fillId="0" borderId="0" xfId="0" applyFont="true" applyBorder="true" applyAlignment="true" applyProtection="true">
      <alignment horizontal="left"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B8860B"/>
      <rgbColor rgb="FF800080"/>
      <rgbColor rgb="FF008080"/>
      <rgbColor rgb="FFC0C0C0"/>
      <rgbColor rgb="FF808080"/>
      <rgbColor rgb="FF9999FF"/>
      <rgbColor rgb="FF9932CC"/>
      <rgbColor rgb="FFFFFFCC"/>
      <rgbColor rgb="FFCCFFFF"/>
      <rgbColor rgb="FF660066"/>
      <rgbColor rgb="FFF06292"/>
      <rgbColor rgb="FF0066CC"/>
      <rgbColor rgb="FFCCCCFF"/>
      <rgbColor rgb="FF000080"/>
      <rgbColor rgb="FFFF00FF"/>
      <rgbColor rgb="FFFFFF00"/>
      <rgbColor rgb="FF00FFFF"/>
      <rgbColor rgb="FF800080"/>
      <rgbColor rgb="FF800000"/>
      <rgbColor rgb="FF008080"/>
      <rgbColor rgb="FF0000CC"/>
      <rgbColor rgb="FF00CCFF"/>
      <rgbColor rgb="FFCCFFFF"/>
      <rgbColor rgb="FFCCFFCC"/>
      <rgbColor rgb="FFFFFF99"/>
      <rgbColor rgb="FF99CCFF"/>
      <rgbColor rgb="FFFF99CC"/>
      <rgbColor rgb="FFCC99FF"/>
      <rgbColor rgb="FFFFCC99"/>
      <rgbColor rgb="FF2979FF"/>
      <rgbColor rgb="FF33CCCC"/>
      <rgbColor rgb="FF99CC00"/>
      <rgbColor rgb="FFFFCC00"/>
      <rgbColor rgb="FFFF9900"/>
      <rgbColor rgb="FFFF6600"/>
      <rgbColor rgb="FF666699"/>
      <rgbColor rgb="FF999999"/>
      <rgbColor rgb="FF003366"/>
      <rgbColor rgb="FF558B2F"/>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worksheet" Target="worksheets/sheet12.xml"/><Relationship Id="rId15" Type="http://schemas.openxmlformats.org/officeDocument/2006/relationships/worksheet" Target="worksheets/sheet13.xml"/><Relationship Id="rId16" Type="http://schemas.openxmlformats.org/officeDocument/2006/relationships/worksheet" Target="worksheets/sheet14.xml"/><Relationship Id="rId17" Type="http://schemas.openxmlformats.org/officeDocument/2006/relationships/worksheet" Target="worksheets/sheet15.xml"/><Relationship Id="rId18" Type="http://schemas.openxmlformats.org/officeDocument/2006/relationships/worksheet" Target="worksheets/sheet16.xml"/><Relationship Id="rId19" Type="http://schemas.openxmlformats.org/officeDocument/2006/relationships/worksheet" Target="worksheets/sheet17.xml"/><Relationship Id="rId20" Type="http://schemas.openxmlformats.org/officeDocument/2006/relationships/worksheet" Target="worksheets/sheet18.xml"/><Relationship Id="rId21" Type="http://schemas.openxmlformats.org/officeDocument/2006/relationships/worksheet" Target="worksheets/sheet19.xml"/><Relationship Id="rId22" Type="http://schemas.openxmlformats.org/officeDocument/2006/relationships/worksheet" Target="worksheets/sheet20.xml"/><Relationship Id="rId23" Type="http://schemas.openxmlformats.org/officeDocument/2006/relationships/worksheet" Target="worksheets/sheet21.xml"/><Relationship Id="rId24" Type="http://schemas.openxmlformats.org/officeDocument/2006/relationships/worksheet" Target="worksheets/sheet22.xml"/><Relationship Id="rId25" Type="http://schemas.openxmlformats.org/officeDocument/2006/relationships/worksheet" Target="worksheets/sheet23.xml"/><Relationship Id="rId26" Type="http://schemas.openxmlformats.org/officeDocument/2006/relationships/worksheet" Target="worksheets/sheet24.xml"/><Relationship Id="rId27" Type="http://schemas.openxmlformats.org/officeDocument/2006/relationships/worksheet" Target="worksheets/sheet25.xml"/><Relationship Id="rId28" Type="http://schemas.openxmlformats.org/officeDocument/2006/relationships/worksheet" Target="worksheets/sheet26.xml"/><Relationship Id="rId29" Type="http://schemas.openxmlformats.org/officeDocument/2006/relationships/worksheet" Target="worksheets/sheet27.xml"/><Relationship Id="rId3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10.xml.rels><?xml version="1.0" encoding="UTF-8"?>
<Relationships xmlns="http://schemas.openxmlformats.org/package/2006/relationships"><Relationship Id="rId1" Type="http://schemas.openxmlformats.org/officeDocument/2006/relationships/image" Target="../media/image2.jpeg"/>
</Relationships>
</file>

<file path=xl/drawings/_rels/drawing11.xml.rels><?xml version="1.0" encoding="UTF-8"?>
<Relationships xmlns="http://schemas.openxmlformats.org/package/2006/relationships"><Relationship Id="rId1" Type="http://schemas.openxmlformats.org/officeDocument/2006/relationships/image" Target="../media/image2.jpeg"/>
</Relationships>
</file>

<file path=xl/drawings/_rels/drawing12.xml.rels><?xml version="1.0" encoding="UTF-8"?>
<Relationships xmlns="http://schemas.openxmlformats.org/package/2006/relationships"><Relationship Id="rId1" Type="http://schemas.openxmlformats.org/officeDocument/2006/relationships/image" Target="../media/image2.jpeg"/>
</Relationships>
</file>

<file path=xl/drawings/_rels/drawing13.xml.rels><?xml version="1.0" encoding="UTF-8"?>
<Relationships xmlns="http://schemas.openxmlformats.org/package/2006/relationships"><Relationship Id="rId1" Type="http://schemas.openxmlformats.org/officeDocument/2006/relationships/image" Target="../media/image2.jpeg"/>
</Relationships>
</file>

<file path=xl/drawings/_rels/drawing14.xml.rels><?xml version="1.0" encoding="UTF-8"?>
<Relationships xmlns="http://schemas.openxmlformats.org/package/2006/relationships"><Relationship Id="rId1" Type="http://schemas.openxmlformats.org/officeDocument/2006/relationships/image" Target="../media/image2.jpeg"/>
</Relationships>
</file>

<file path=xl/drawings/_rels/drawing15.xml.rels><?xml version="1.0" encoding="UTF-8"?>
<Relationships xmlns="http://schemas.openxmlformats.org/package/2006/relationships"><Relationship Id="rId1" Type="http://schemas.openxmlformats.org/officeDocument/2006/relationships/image" Target="../media/image2.jpeg"/>
</Relationships>
</file>

<file path=xl/drawings/_rels/drawing16.xml.rels><?xml version="1.0" encoding="UTF-8"?>
<Relationships xmlns="http://schemas.openxmlformats.org/package/2006/relationships"><Relationship Id="rId1" Type="http://schemas.openxmlformats.org/officeDocument/2006/relationships/image" Target="../media/image2.jpeg"/>
</Relationships>
</file>

<file path=xl/drawings/_rels/drawing17.xml.rels><?xml version="1.0" encoding="UTF-8"?>
<Relationships xmlns="http://schemas.openxmlformats.org/package/2006/relationships"><Relationship Id="rId1" Type="http://schemas.openxmlformats.org/officeDocument/2006/relationships/image" Target="../media/image2.jpeg"/>
</Relationships>
</file>

<file path=xl/drawings/_rels/drawing18.xml.rels><?xml version="1.0" encoding="UTF-8"?>
<Relationships xmlns="http://schemas.openxmlformats.org/package/2006/relationships"><Relationship Id="rId1" Type="http://schemas.openxmlformats.org/officeDocument/2006/relationships/image" Target="../media/image2.jpeg"/>
</Relationships>
</file>

<file path=xl/drawings/_rels/drawing19.xml.rels><?xml version="1.0" encoding="UTF-8"?>
<Relationships xmlns="http://schemas.openxmlformats.org/package/2006/relationships"><Relationship Id="rId1" Type="http://schemas.openxmlformats.org/officeDocument/2006/relationships/image" Target="../media/image2.jpeg"/>
</Relationships>
</file>

<file path=xl/drawings/_rels/drawing2.xml.rels><?xml version="1.0" encoding="UTF-8"?>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2.jpeg"/><Relationship Id="rId3" Type="http://schemas.openxmlformats.org/officeDocument/2006/relationships/image" Target="../media/image2.jpeg"/><Relationship Id="rId4" Type="http://schemas.openxmlformats.org/officeDocument/2006/relationships/image" Target="../media/image2.jpeg"/><Relationship Id="rId5" Type="http://schemas.openxmlformats.org/officeDocument/2006/relationships/image" Target="../media/image2.jpeg"/><Relationship Id="rId6" Type="http://schemas.openxmlformats.org/officeDocument/2006/relationships/image" Target="../media/image2.jpeg"/>
</Relationships>
</file>

<file path=xl/drawings/_rels/drawing20.xml.rels><?xml version="1.0" encoding="UTF-8"?>
<Relationships xmlns="http://schemas.openxmlformats.org/package/2006/relationships"><Relationship Id="rId1" Type="http://schemas.openxmlformats.org/officeDocument/2006/relationships/image" Target="../media/image2.jpeg"/>
</Relationships>
</file>

<file path=xl/drawings/_rels/drawing21.xml.rels><?xml version="1.0" encoding="UTF-8"?>
<Relationships xmlns="http://schemas.openxmlformats.org/package/2006/relationships"><Relationship Id="rId1" Type="http://schemas.openxmlformats.org/officeDocument/2006/relationships/image" Target="../media/image2.jpeg"/>
</Relationships>
</file>

<file path=xl/drawings/_rels/drawing22.xml.rels><?xml version="1.0" encoding="UTF-8"?>
<Relationships xmlns="http://schemas.openxmlformats.org/package/2006/relationships"><Relationship Id="rId1" Type="http://schemas.openxmlformats.org/officeDocument/2006/relationships/image" Target="../media/image2.jpeg"/>
</Relationships>
</file>

<file path=xl/drawings/_rels/drawing23.xml.rels><?xml version="1.0" encoding="UTF-8"?>
<Relationships xmlns="http://schemas.openxmlformats.org/package/2006/relationships"><Relationship Id="rId1" Type="http://schemas.openxmlformats.org/officeDocument/2006/relationships/image" Target="../media/image2.jpeg"/>
</Relationships>
</file>

<file path=xl/drawings/_rels/drawing24.xml.rels><?xml version="1.0" encoding="UTF-8"?>
<Relationships xmlns="http://schemas.openxmlformats.org/package/2006/relationships"><Relationship Id="rId1" Type="http://schemas.openxmlformats.org/officeDocument/2006/relationships/image" Target="../media/image2.jpeg"/>
</Relationships>
</file>

<file path=xl/drawings/_rels/drawing25.xml.rels><?xml version="1.0" encoding="UTF-8"?>
<Relationships xmlns="http://schemas.openxmlformats.org/package/2006/relationships"><Relationship Id="rId1" Type="http://schemas.openxmlformats.org/officeDocument/2006/relationships/image" Target="../media/image2.jpeg"/>
</Relationships>
</file>

<file path=xl/drawings/_rels/drawing26.xml.rels><?xml version="1.0" encoding="UTF-8"?>
<Relationships xmlns="http://schemas.openxmlformats.org/package/2006/relationships"><Relationship Id="rId1" Type="http://schemas.openxmlformats.org/officeDocument/2006/relationships/image" Target="../media/image2.jpeg"/>
</Relationships>
</file>

<file path=xl/drawings/_rels/drawing27.xml.rels><?xml version="1.0" encoding="UTF-8"?>
<Relationships xmlns="http://schemas.openxmlformats.org/package/2006/relationships"><Relationship Id="rId1" Type="http://schemas.openxmlformats.org/officeDocument/2006/relationships/image" Target="../media/image2.jpeg"/>
</Relationships>
</file>

<file path=xl/drawings/_rels/drawing3.xml.rels><?xml version="1.0" encoding="UTF-8"?>
<Relationships xmlns="http://schemas.openxmlformats.org/package/2006/relationships"><Relationship Id="rId1" Type="http://schemas.openxmlformats.org/officeDocument/2006/relationships/image" Target="../media/image2.jpeg"/>
</Relationships>
</file>

<file path=xl/drawings/_rels/drawing4.xml.rels><?xml version="1.0" encoding="UTF-8"?>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2.jpeg"/><Relationship Id="rId3" Type="http://schemas.openxmlformats.org/officeDocument/2006/relationships/image" Target="../media/image2.jpeg"/><Relationship Id="rId4" Type="http://schemas.openxmlformats.org/officeDocument/2006/relationships/image" Target="../media/image2.jpeg"/><Relationship Id="rId5" Type="http://schemas.openxmlformats.org/officeDocument/2006/relationships/image" Target="../media/image2.jpeg"/><Relationship Id="rId6" Type="http://schemas.openxmlformats.org/officeDocument/2006/relationships/image" Target="../media/image2.jpeg"/>
</Relationships>
</file>

<file path=xl/drawings/_rels/drawing5.xml.rels><?xml version="1.0" encoding="UTF-8"?>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2.jpeg"/><Relationship Id="rId3" Type="http://schemas.openxmlformats.org/officeDocument/2006/relationships/image" Target="../media/image2.jpeg"/><Relationship Id="rId4" Type="http://schemas.openxmlformats.org/officeDocument/2006/relationships/image" Target="../media/image2.jpeg"/><Relationship Id="rId5" Type="http://schemas.openxmlformats.org/officeDocument/2006/relationships/image" Target="../media/image2.jpeg"/><Relationship Id="rId6" Type="http://schemas.openxmlformats.org/officeDocument/2006/relationships/image" Target="../media/image2.jpeg"/>
</Relationships>
</file>

<file path=xl/drawings/_rels/drawing6.xml.rels><?xml version="1.0" encoding="UTF-8"?>
<Relationships xmlns="http://schemas.openxmlformats.org/package/2006/relationships"><Relationship Id="rId1" Type="http://schemas.openxmlformats.org/officeDocument/2006/relationships/image" Target="../media/image2.jpeg"/>
</Relationships>
</file>

<file path=xl/drawings/_rels/drawing7.xml.rels><?xml version="1.0" encoding="UTF-8"?>
<Relationships xmlns="http://schemas.openxmlformats.org/package/2006/relationships"><Relationship Id="rId1" Type="http://schemas.openxmlformats.org/officeDocument/2006/relationships/image" Target="../media/image2.jpeg"/>
</Relationships>
</file>

<file path=xl/drawings/_rels/drawing8.xml.rels><?xml version="1.0" encoding="UTF-8"?>
<Relationships xmlns="http://schemas.openxmlformats.org/package/2006/relationships"><Relationship Id="rId1" Type="http://schemas.openxmlformats.org/officeDocument/2006/relationships/image" Target="../media/image2.jpeg"/>
</Relationships>
</file>

<file path=xl/drawings/_rels/drawing9.xml.rels><?xml version="1.0" encoding="UTF-8"?>
<Relationships xmlns="http://schemas.openxmlformats.org/package/2006/relationships"><Relationship Id="rId1" Type="http://schemas.openxmlformats.org/officeDocument/2006/relationships/image" Target="../media/image2.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290160</xdr:colOff>
      <xdr:row>48</xdr:row>
      <xdr:rowOff>105480</xdr:rowOff>
    </xdr:from>
    <xdr:to>
      <xdr:col>8</xdr:col>
      <xdr:colOff>383040</xdr:colOff>
      <xdr:row>98</xdr:row>
      <xdr:rowOff>130320</xdr:rowOff>
    </xdr:to>
    <xdr:pic>
      <xdr:nvPicPr>
        <xdr:cNvPr id="1" name="Obrázek 3" descr=""/>
        <xdr:cNvPicPr/>
      </xdr:nvPicPr>
      <xdr:blipFill>
        <a:blip r:embed="rId1"/>
        <a:stretch/>
      </xdr:blipFill>
      <xdr:spPr>
        <a:xfrm>
          <a:off x="290160" y="10420560"/>
          <a:ext cx="6595200" cy="9327600"/>
        </a:xfrm>
        <a:prstGeom prst="rect">
          <a:avLst/>
        </a:prstGeom>
        <a:noFill/>
        <a:ln w="0">
          <a:noFill/>
        </a:ln>
      </xdr:spPr>
    </xdr:pic>
    <xdr:clientData/>
  </xdr:twoCellAnchor>
</xdr:wsDr>
</file>

<file path=xl/drawings/drawing10.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25" name="Obrázek 12" descr=""/>
        <xdr:cNvPicPr/>
      </xdr:nvPicPr>
      <xdr:blipFill>
        <a:blip r:embed="rId1"/>
        <a:stretch/>
      </xdr:blipFill>
      <xdr:spPr>
        <a:xfrm>
          <a:off x="0" y="0"/>
          <a:ext cx="0" cy="0"/>
        </a:xfrm>
        <a:prstGeom prst="rect">
          <a:avLst/>
        </a:prstGeom>
        <a:noFill/>
        <a:ln w="9525">
          <a:noFill/>
        </a:ln>
      </xdr:spPr>
    </xdr:pic>
    <xdr:clientData/>
  </xdr:twoCellAnchor>
</xdr:wsDr>
</file>

<file path=xl/drawings/drawing11.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26" name="Obrázek 13" descr=""/>
        <xdr:cNvPicPr/>
      </xdr:nvPicPr>
      <xdr:blipFill>
        <a:blip r:embed="rId1"/>
        <a:stretch/>
      </xdr:blipFill>
      <xdr:spPr>
        <a:xfrm>
          <a:off x="0" y="0"/>
          <a:ext cx="0" cy="0"/>
        </a:xfrm>
        <a:prstGeom prst="rect">
          <a:avLst/>
        </a:prstGeom>
        <a:noFill/>
        <a:ln w="9525">
          <a:noFill/>
        </a:ln>
      </xdr:spPr>
    </xdr:pic>
    <xdr:clientData/>
  </xdr:twoCellAnchor>
</xdr:wsDr>
</file>

<file path=xl/drawings/drawing12.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27" name="Obrázek 14" descr=""/>
        <xdr:cNvPicPr/>
      </xdr:nvPicPr>
      <xdr:blipFill>
        <a:blip r:embed="rId1"/>
        <a:stretch/>
      </xdr:blipFill>
      <xdr:spPr>
        <a:xfrm>
          <a:off x="0" y="0"/>
          <a:ext cx="0" cy="0"/>
        </a:xfrm>
        <a:prstGeom prst="rect">
          <a:avLst/>
        </a:prstGeom>
        <a:noFill/>
        <a:ln w="9525">
          <a:noFill/>
        </a:ln>
      </xdr:spPr>
    </xdr:pic>
    <xdr:clientData/>
  </xdr:twoCellAnchor>
</xdr:wsDr>
</file>

<file path=xl/drawings/drawing13.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28" name="Obrázek 15" descr=""/>
        <xdr:cNvPicPr/>
      </xdr:nvPicPr>
      <xdr:blipFill>
        <a:blip r:embed="rId1"/>
        <a:stretch/>
      </xdr:blipFill>
      <xdr:spPr>
        <a:xfrm>
          <a:off x="0" y="0"/>
          <a:ext cx="0" cy="0"/>
        </a:xfrm>
        <a:prstGeom prst="rect">
          <a:avLst/>
        </a:prstGeom>
        <a:noFill/>
        <a:ln w="9525">
          <a:noFill/>
        </a:ln>
      </xdr:spPr>
    </xdr:pic>
    <xdr:clientData/>
  </xdr:twoCellAnchor>
</xdr:wsDr>
</file>

<file path=xl/drawings/drawing14.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29" name="Obrázek 16" descr=""/>
        <xdr:cNvPicPr/>
      </xdr:nvPicPr>
      <xdr:blipFill>
        <a:blip r:embed="rId1"/>
        <a:stretch/>
      </xdr:blipFill>
      <xdr:spPr>
        <a:xfrm>
          <a:off x="0" y="0"/>
          <a:ext cx="0" cy="0"/>
        </a:xfrm>
        <a:prstGeom prst="rect">
          <a:avLst/>
        </a:prstGeom>
        <a:noFill/>
        <a:ln w="9525">
          <a:noFill/>
        </a:ln>
      </xdr:spPr>
    </xdr:pic>
    <xdr:clientData/>
  </xdr:twoCellAnchor>
</xdr:wsDr>
</file>

<file path=xl/drawings/drawing15.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30" name="Obrázek 17" descr=""/>
        <xdr:cNvPicPr/>
      </xdr:nvPicPr>
      <xdr:blipFill>
        <a:blip r:embed="rId1"/>
        <a:stretch/>
      </xdr:blipFill>
      <xdr:spPr>
        <a:xfrm>
          <a:off x="0" y="0"/>
          <a:ext cx="0" cy="0"/>
        </a:xfrm>
        <a:prstGeom prst="rect">
          <a:avLst/>
        </a:prstGeom>
        <a:noFill/>
        <a:ln w="9525">
          <a:noFill/>
        </a:ln>
      </xdr:spPr>
    </xdr:pic>
    <xdr:clientData/>
  </xdr:twoCellAnchor>
</xdr:wsDr>
</file>

<file path=xl/drawings/drawing16.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31" name="Obrázek 18" descr=""/>
        <xdr:cNvPicPr/>
      </xdr:nvPicPr>
      <xdr:blipFill>
        <a:blip r:embed="rId1"/>
        <a:stretch/>
      </xdr:blipFill>
      <xdr:spPr>
        <a:xfrm>
          <a:off x="0" y="0"/>
          <a:ext cx="0" cy="0"/>
        </a:xfrm>
        <a:prstGeom prst="rect">
          <a:avLst/>
        </a:prstGeom>
        <a:noFill/>
        <a:ln w="9525">
          <a:noFill/>
        </a:ln>
      </xdr:spPr>
    </xdr:pic>
    <xdr:clientData/>
  </xdr:twoCellAnchor>
</xdr:wsDr>
</file>

<file path=xl/drawings/drawing17.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32" name="Obrázek 19" descr=""/>
        <xdr:cNvPicPr/>
      </xdr:nvPicPr>
      <xdr:blipFill>
        <a:blip r:embed="rId1"/>
        <a:stretch/>
      </xdr:blipFill>
      <xdr:spPr>
        <a:xfrm>
          <a:off x="0" y="0"/>
          <a:ext cx="0" cy="0"/>
        </a:xfrm>
        <a:prstGeom prst="rect">
          <a:avLst/>
        </a:prstGeom>
        <a:noFill/>
        <a:ln w="9525">
          <a:noFill/>
        </a:ln>
      </xdr:spPr>
    </xdr:pic>
    <xdr:clientData/>
  </xdr:twoCellAnchor>
</xdr:wsDr>
</file>

<file path=xl/drawings/drawing18.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33" name="Obrázek 20" descr=""/>
        <xdr:cNvPicPr/>
      </xdr:nvPicPr>
      <xdr:blipFill>
        <a:blip r:embed="rId1"/>
        <a:stretch/>
      </xdr:blipFill>
      <xdr:spPr>
        <a:xfrm>
          <a:off x="0" y="0"/>
          <a:ext cx="0" cy="0"/>
        </a:xfrm>
        <a:prstGeom prst="rect">
          <a:avLst/>
        </a:prstGeom>
        <a:noFill/>
        <a:ln w="9525">
          <a:noFill/>
        </a:ln>
      </xdr:spPr>
    </xdr:pic>
    <xdr:clientData/>
  </xdr:twoCellAnchor>
</xdr:wsDr>
</file>

<file path=xl/drawings/drawing19.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34" name="Obrázek 21" descr=""/>
        <xdr:cNvPicPr/>
      </xdr:nvPicPr>
      <xdr:blipFill>
        <a:blip r:embed="rId1"/>
        <a:stretch/>
      </xdr:blipFill>
      <xdr:spPr>
        <a:xfrm>
          <a:off x="0" y="0"/>
          <a:ext cx="0" cy="0"/>
        </a:xfrm>
        <a:prstGeom prst="rect">
          <a:avLst/>
        </a:prstGeom>
        <a:noFill/>
        <a:ln w="9525">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2" name="Obrázek 4" descr=""/>
        <xdr:cNvPicPr/>
      </xdr:nvPicPr>
      <xdr:blipFill>
        <a:blip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3" name="Obrázek 31" descr=""/>
        <xdr:cNvPicPr/>
      </xdr:nvPicPr>
      <xdr:blipFill>
        <a:blip r:embed="rId2"/>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4" name="Obrázek 51" descr=""/>
        <xdr:cNvPicPr/>
      </xdr:nvPicPr>
      <xdr:blipFill>
        <a:blip r:embed="rId3"/>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5" name="Obrázek 52" descr=""/>
        <xdr:cNvPicPr/>
      </xdr:nvPicPr>
      <xdr:blipFill>
        <a:blip r:embed="rId4"/>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6" name="Obrázek 59" descr=""/>
        <xdr:cNvPicPr/>
      </xdr:nvPicPr>
      <xdr:blipFill>
        <a:blip r:embed="rId5"/>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7" name="Obrázek 60" descr=""/>
        <xdr:cNvPicPr/>
      </xdr:nvPicPr>
      <xdr:blipFill>
        <a:blip r:embed="rId6"/>
        <a:stretch/>
      </xdr:blipFill>
      <xdr:spPr>
        <a:xfrm>
          <a:off x="0" y="0"/>
          <a:ext cx="0" cy="0"/>
        </a:xfrm>
        <a:prstGeom prst="rect">
          <a:avLst/>
        </a:prstGeom>
        <a:noFill/>
        <a:ln w="9525">
          <a:noFill/>
        </a:ln>
      </xdr:spPr>
    </xdr:pic>
    <xdr:clientData/>
  </xdr:twoCellAnchor>
</xdr:wsDr>
</file>

<file path=xl/drawings/drawing20.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35" name="Obrázek 22" descr=""/>
        <xdr:cNvPicPr/>
      </xdr:nvPicPr>
      <xdr:blipFill>
        <a:blip r:embed="rId1"/>
        <a:stretch/>
      </xdr:blipFill>
      <xdr:spPr>
        <a:xfrm>
          <a:off x="0" y="0"/>
          <a:ext cx="0" cy="0"/>
        </a:xfrm>
        <a:prstGeom prst="rect">
          <a:avLst/>
        </a:prstGeom>
        <a:noFill/>
        <a:ln w="9525">
          <a:noFill/>
        </a:ln>
      </xdr:spPr>
    </xdr:pic>
    <xdr:clientData/>
  </xdr:twoCellAnchor>
</xdr:wsDr>
</file>

<file path=xl/drawings/drawing21.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36" name="Obrázek 23" descr=""/>
        <xdr:cNvPicPr/>
      </xdr:nvPicPr>
      <xdr:blipFill>
        <a:blip r:embed="rId1"/>
        <a:stretch/>
      </xdr:blipFill>
      <xdr:spPr>
        <a:xfrm>
          <a:off x="0" y="0"/>
          <a:ext cx="0" cy="0"/>
        </a:xfrm>
        <a:prstGeom prst="rect">
          <a:avLst/>
        </a:prstGeom>
        <a:noFill/>
        <a:ln w="9525">
          <a:noFill/>
        </a:ln>
      </xdr:spPr>
    </xdr:pic>
    <xdr:clientData/>
  </xdr:twoCellAnchor>
</xdr:wsDr>
</file>

<file path=xl/drawings/drawing22.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37" name="Obrázek 24" descr=""/>
        <xdr:cNvPicPr/>
      </xdr:nvPicPr>
      <xdr:blipFill>
        <a:blip r:embed="rId1"/>
        <a:stretch/>
      </xdr:blipFill>
      <xdr:spPr>
        <a:xfrm>
          <a:off x="0" y="0"/>
          <a:ext cx="0" cy="0"/>
        </a:xfrm>
        <a:prstGeom prst="rect">
          <a:avLst/>
        </a:prstGeom>
        <a:noFill/>
        <a:ln w="9525">
          <a:noFill/>
        </a:ln>
      </xdr:spPr>
    </xdr:pic>
    <xdr:clientData/>
  </xdr:twoCellAnchor>
</xdr:wsDr>
</file>

<file path=xl/drawings/drawing23.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38" name="Obrázek 25" descr=""/>
        <xdr:cNvPicPr/>
      </xdr:nvPicPr>
      <xdr:blipFill>
        <a:blip r:embed="rId1"/>
        <a:stretch/>
      </xdr:blipFill>
      <xdr:spPr>
        <a:xfrm>
          <a:off x="0" y="0"/>
          <a:ext cx="0" cy="0"/>
        </a:xfrm>
        <a:prstGeom prst="rect">
          <a:avLst/>
        </a:prstGeom>
        <a:noFill/>
        <a:ln w="9525">
          <a:noFill/>
        </a:ln>
      </xdr:spPr>
    </xdr:pic>
    <xdr:clientData/>
  </xdr:twoCellAnchor>
</xdr:wsDr>
</file>

<file path=xl/drawings/drawing24.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39" name="Obrázek 26" descr=""/>
        <xdr:cNvPicPr/>
      </xdr:nvPicPr>
      <xdr:blipFill>
        <a:blip r:embed="rId1"/>
        <a:stretch/>
      </xdr:blipFill>
      <xdr:spPr>
        <a:xfrm>
          <a:off x="0" y="0"/>
          <a:ext cx="0" cy="0"/>
        </a:xfrm>
        <a:prstGeom prst="rect">
          <a:avLst/>
        </a:prstGeom>
        <a:noFill/>
        <a:ln w="9525">
          <a:noFill/>
        </a:ln>
      </xdr:spPr>
    </xdr:pic>
    <xdr:clientData/>
  </xdr:twoCellAnchor>
</xdr:wsDr>
</file>

<file path=xl/drawings/drawing25.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40" name="Obrázek 27" descr=""/>
        <xdr:cNvPicPr/>
      </xdr:nvPicPr>
      <xdr:blipFill>
        <a:blip r:embed="rId1"/>
        <a:stretch/>
      </xdr:blipFill>
      <xdr:spPr>
        <a:xfrm>
          <a:off x="0" y="0"/>
          <a:ext cx="0" cy="0"/>
        </a:xfrm>
        <a:prstGeom prst="rect">
          <a:avLst/>
        </a:prstGeom>
        <a:noFill/>
        <a:ln w="9525">
          <a:noFill/>
        </a:ln>
      </xdr:spPr>
    </xdr:pic>
    <xdr:clientData/>
  </xdr:twoCellAnchor>
</xdr:wsDr>
</file>

<file path=xl/drawings/drawing26.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41" name="Obrázek 28" descr=""/>
        <xdr:cNvPicPr/>
      </xdr:nvPicPr>
      <xdr:blipFill>
        <a:blip r:embed="rId1"/>
        <a:stretch/>
      </xdr:blipFill>
      <xdr:spPr>
        <a:xfrm>
          <a:off x="0" y="0"/>
          <a:ext cx="0" cy="0"/>
        </a:xfrm>
        <a:prstGeom prst="rect">
          <a:avLst/>
        </a:prstGeom>
        <a:noFill/>
        <a:ln w="9525">
          <a:noFill/>
        </a:ln>
      </xdr:spPr>
    </xdr:pic>
    <xdr:clientData/>
  </xdr:twoCellAnchor>
</xdr:wsDr>
</file>

<file path=xl/drawings/drawing27.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42" name="Obrázek 29" descr=""/>
        <xdr:cNvPicPr/>
      </xdr:nvPicPr>
      <xdr:blipFill>
        <a:blip r:embed="rId1"/>
        <a:stretch/>
      </xdr:blipFill>
      <xdr:spPr>
        <a:xfrm>
          <a:off x="0" y="0"/>
          <a:ext cx="0" cy="0"/>
        </a:xfrm>
        <a:prstGeom prst="rect">
          <a:avLst/>
        </a:prstGeom>
        <a:noFill/>
        <a:ln w="9525">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8" name="Obrázek 5" descr=""/>
        <xdr:cNvPicPr/>
      </xdr:nvPicPr>
      <xdr:blipFill>
        <a:blip r:embed="rId1"/>
        <a:stretch/>
      </xdr:blipFill>
      <xdr:spPr>
        <a:xfrm>
          <a:off x="0" y="0"/>
          <a:ext cx="0" cy="0"/>
        </a:xfrm>
        <a:prstGeom prst="rect">
          <a:avLst/>
        </a:prstGeom>
        <a:noFill/>
        <a:ln w="9525">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9" name="Obrázek 6" descr=""/>
        <xdr:cNvPicPr/>
      </xdr:nvPicPr>
      <xdr:blipFill>
        <a:blip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0" name="Obrázek 32" descr=""/>
        <xdr:cNvPicPr/>
      </xdr:nvPicPr>
      <xdr:blipFill>
        <a:blip r:embed="rId2"/>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1" name="Obrázek 53" descr=""/>
        <xdr:cNvPicPr/>
      </xdr:nvPicPr>
      <xdr:blipFill>
        <a:blip r:embed="rId3"/>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2" name="Obrázek 54" descr=""/>
        <xdr:cNvPicPr/>
      </xdr:nvPicPr>
      <xdr:blipFill>
        <a:blip r:embed="rId4"/>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3" name="Obrázek 61" descr=""/>
        <xdr:cNvPicPr/>
      </xdr:nvPicPr>
      <xdr:blipFill>
        <a:blip r:embed="rId5"/>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4" name="Obrázek 62" descr=""/>
        <xdr:cNvPicPr/>
      </xdr:nvPicPr>
      <xdr:blipFill>
        <a:blip r:embed="rId6"/>
        <a:stretch/>
      </xdr:blipFill>
      <xdr:spPr>
        <a:xfrm>
          <a:off x="0" y="0"/>
          <a:ext cx="0" cy="0"/>
        </a:xfrm>
        <a:prstGeom prst="rect">
          <a:avLst/>
        </a:prstGeom>
        <a:noFill/>
        <a:ln w="9525">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15" name="Obrázek 7" descr=""/>
        <xdr:cNvPicPr/>
      </xdr:nvPicPr>
      <xdr:blipFill>
        <a:blip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6" name="Obrázek 33" descr=""/>
        <xdr:cNvPicPr/>
      </xdr:nvPicPr>
      <xdr:blipFill>
        <a:blip r:embed="rId2"/>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7" name="Obrázek 55" descr=""/>
        <xdr:cNvPicPr/>
      </xdr:nvPicPr>
      <xdr:blipFill>
        <a:blip r:embed="rId3"/>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8" name="Obrázek 56" descr=""/>
        <xdr:cNvPicPr/>
      </xdr:nvPicPr>
      <xdr:blipFill>
        <a:blip r:embed="rId4"/>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9" name="Obrázek 63" descr=""/>
        <xdr:cNvPicPr/>
      </xdr:nvPicPr>
      <xdr:blipFill>
        <a:blip r:embed="rId5"/>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20" name="Obrázek 64" descr=""/>
        <xdr:cNvPicPr/>
      </xdr:nvPicPr>
      <xdr:blipFill>
        <a:blip r:embed="rId6"/>
        <a:stretch/>
      </xdr:blipFill>
      <xdr:spPr>
        <a:xfrm>
          <a:off x="0" y="0"/>
          <a:ext cx="0" cy="0"/>
        </a:xfrm>
        <a:prstGeom prst="rect">
          <a:avLst/>
        </a:prstGeom>
        <a:noFill/>
        <a:ln w="9525">
          <a:noFill/>
        </a:ln>
      </xdr:spPr>
    </xdr:pic>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21" name="Obrázek 8" descr=""/>
        <xdr:cNvPicPr/>
      </xdr:nvPicPr>
      <xdr:blipFill>
        <a:blip r:embed="rId1"/>
        <a:stretch/>
      </xdr:blipFill>
      <xdr:spPr>
        <a:xfrm>
          <a:off x="0" y="0"/>
          <a:ext cx="0" cy="0"/>
        </a:xfrm>
        <a:prstGeom prst="rect">
          <a:avLst/>
        </a:prstGeom>
        <a:noFill/>
        <a:ln w="9525">
          <a:noFill/>
        </a:ln>
      </xdr:spPr>
    </xdr:pic>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22" name="Obrázek 9" descr=""/>
        <xdr:cNvPicPr/>
      </xdr:nvPicPr>
      <xdr:blipFill>
        <a:blip r:embed="rId1"/>
        <a:stretch/>
      </xdr:blipFill>
      <xdr:spPr>
        <a:xfrm>
          <a:off x="0" y="0"/>
          <a:ext cx="0" cy="0"/>
        </a:xfrm>
        <a:prstGeom prst="rect">
          <a:avLst/>
        </a:prstGeom>
        <a:noFill/>
        <a:ln w="9525">
          <a:noFill/>
        </a:ln>
      </xdr:spPr>
    </xdr:pic>
    <xdr:clientData/>
  </xdr:twoCellAnchor>
</xdr:wsDr>
</file>

<file path=xl/drawings/drawing8.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23" name="Obrázek 10" descr=""/>
        <xdr:cNvPicPr/>
      </xdr:nvPicPr>
      <xdr:blipFill>
        <a:blip r:embed="rId1"/>
        <a:stretch/>
      </xdr:blipFill>
      <xdr:spPr>
        <a:xfrm>
          <a:off x="0" y="0"/>
          <a:ext cx="0" cy="0"/>
        </a:xfrm>
        <a:prstGeom prst="rect">
          <a:avLst/>
        </a:prstGeom>
        <a:noFill/>
        <a:ln w="9525">
          <a:noFill/>
        </a:ln>
      </xdr:spPr>
    </xdr:pic>
    <xdr:clientData/>
  </xdr:twoCellAnchor>
</xdr:wsDr>
</file>

<file path=xl/drawings/drawing9.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0</xdr:colOff>
      <xdr:row>0</xdr:row>
      <xdr:rowOff>0</xdr:rowOff>
    </xdr:to>
    <xdr:pic>
      <xdr:nvPicPr>
        <xdr:cNvPr id="24" name="Obrázek 11" descr=""/>
        <xdr:cNvPicPr/>
      </xdr:nvPicPr>
      <xdr:blipFill>
        <a:blip r:embed="rId1"/>
        <a:stretch/>
      </xdr:blipFill>
      <xdr:spPr>
        <a:xfrm>
          <a:off x="0" y="0"/>
          <a:ext cx="0" cy="0"/>
        </a:xfrm>
        <a:prstGeom prst="rect">
          <a:avLst/>
        </a:prstGeom>
        <a:noFill/>
        <a:ln w="9525">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bohuslav@rozpocty-hemala.cz" TargetMode="External"/><Relationship Id="rId2" Type="http://schemas.openxmlformats.org/officeDocument/2006/relationships/hyperlink" Target="http://www.rozpocty-hemala.cz/" TargetMode="External"/><Relationship Id="rId3" Type="http://schemas.openxmlformats.org/officeDocument/2006/relationships/drawing" Target="../drawings/drawing1.xml"/>
</Relationships>
</file>

<file path=xl/worksheets/_rels/sheet10.xml.rels><?xml version="1.0" encoding="UTF-8"?>
<Relationships xmlns="http://schemas.openxmlformats.org/package/2006/relationships"><Relationship Id="rId1" Type="http://schemas.openxmlformats.org/officeDocument/2006/relationships/drawing" Target="../drawings/drawing10.xml"/>
</Relationships>
</file>

<file path=xl/worksheets/_rels/sheet11.xml.rels><?xml version="1.0" encoding="UTF-8"?>
<Relationships xmlns="http://schemas.openxmlformats.org/package/2006/relationships"><Relationship Id="rId1" Type="http://schemas.openxmlformats.org/officeDocument/2006/relationships/drawing" Target="../drawings/drawing11.xml"/>
</Relationships>
</file>

<file path=xl/worksheets/_rels/sheet12.xml.rels><?xml version="1.0" encoding="UTF-8"?>
<Relationships xmlns="http://schemas.openxmlformats.org/package/2006/relationships"><Relationship Id="rId1" Type="http://schemas.openxmlformats.org/officeDocument/2006/relationships/drawing" Target="../drawings/drawing12.xml"/>
</Relationships>
</file>

<file path=xl/worksheets/_rels/sheet13.xml.rels><?xml version="1.0" encoding="UTF-8"?>
<Relationships xmlns="http://schemas.openxmlformats.org/package/2006/relationships"><Relationship Id="rId1" Type="http://schemas.openxmlformats.org/officeDocument/2006/relationships/drawing" Target="../drawings/drawing13.xml"/>
</Relationships>
</file>

<file path=xl/worksheets/_rels/sheet14.xml.rels><?xml version="1.0" encoding="UTF-8"?>
<Relationships xmlns="http://schemas.openxmlformats.org/package/2006/relationships"><Relationship Id="rId1" Type="http://schemas.openxmlformats.org/officeDocument/2006/relationships/drawing" Target="../drawings/drawing14.xml"/>
</Relationships>
</file>

<file path=xl/worksheets/_rels/sheet15.xml.rels><?xml version="1.0" encoding="UTF-8"?>
<Relationships xmlns="http://schemas.openxmlformats.org/package/2006/relationships"><Relationship Id="rId1" Type="http://schemas.openxmlformats.org/officeDocument/2006/relationships/drawing" Target="../drawings/drawing15.xml"/>
</Relationships>
</file>

<file path=xl/worksheets/_rels/sheet16.xml.rels><?xml version="1.0" encoding="UTF-8"?>
<Relationships xmlns="http://schemas.openxmlformats.org/package/2006/relationships"><Relationship Id="rId1" Type="http://schemas.openxmlformats.org/officeDocument/2006/relationships/drawing" Target="../drawings/drawing16.xml"/>
</Relationships>
</file>

<file path=xl/worksheets/_rels/sheet17.xml.rels><?xml version="1.0" encoding="UTF-8"?>
<Relationships xmlns="http://schemas.openxmlformats.org/package/2006/relationships"><Relationship Id="rId1" Type="http://schemas.openxmlformats.org/officeDocument/2006/relationships/drawing" Target="../drawings/drawing17.xml"/>
</Relationships>
</file>

<file path=xl/worksheets/_rels/sheet18.xml.rels><?xml version="1.0" encoding="UTF-8"?>
<Relationships xmlns="http://schemas.openxmlformats.org/package/2006/relationships"><Relationship Id="rId1" Type="http://schemas.openxmlformats.org/officeDocument/2006/relationships/drawing" Target="../drawings/drawing18.xml"/>
</Relationships>
</file>

<file path=xl/worksheets/_rels/sheet19.xml.rels><?xml version="1.0" encoding="UTF-8"?>
<Relationships xmlns="http://schemas.openxmlformats.org/package/2006/relationships"><Relationship Id="rId1" Type="http://schemas.openxmlformats.org/officeDocument/2006/relationships/drawing" Target="../drawings/drawing19.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20.xml.rels><?xml version="1.0" encoding="UTF-8"?>
<Relationships xmlns="http://schemas.openxmlformats.org/package/2006/relationships"><Relationship Id="rId1" Type="http://schemas.openxmlformats.org/officeDocument/2006/relationships/drawing" Target="../drawings/drawing20.xml"/>
</Relationships>
</file>

<file path=xl/worksheets/_rels/sheet21.xml.rels><?xml version="1.0" encoding="UTF-8"?>
<Relationships xmlns="http://schemas.openxmlformats.org/package/2006/relationships"><Relationship Id="rId1" Type="http://schemas.openxmlformats.org/officeDocument/2006/relationships/drawing" Target="../drawings/drawing21.xml"/>
</Relationships>
</file>

<file path=xl/worksheets/_rels/sheet22.xml.rels><?xml version="1.0" encoding="UTF-8"?>
<Relationships xmlns="http://schemas.openxmlformats.org/package/2006/relationships"><Relationship Id="rId1" Type="http://schemas.openxmlformats.org/officeDocument/2006/relationships/drawing" Target="../drawings/drawing22.xml"/>
</Relationships>
</file>

<file path=xl/worksheets/_rels/sheet23.xml.rels><?xml version="1.0" encoding="UTF-8"?>
<Relationships xmlns="http://schemas.openxmlformats.org/package/2006/relationships"><Relationship Id="rId1" Type="http://schemas.openxmlformats.org/officeDocument/2006/relationships/drawing" Target="../drawings/drawing23.xml"/>
</Relationships>
</file>

<file path=xl/worksheets/_rels/sheet24.xml.rels><?xml version="1.0" encoding="UTF-8"?>
<Relationships xmlns="http://schemas.openxmlformats.org/package/2006/relationships"><Relationship Id="rId1" Type="http://schemas.openxmlformats.org/officeDocument/2006/relationships/drawing" Target="../drawings/drawing24.xml"/>
</Relationships>
</file>

<file path=xl/worksheets/_rels/sheet25.xml.rels><?xml version="1.0" encoding="UTF-8"?>
<Relationships xmlns="http://schemas.openxmlformats.org/package/2006/relationships"><Relationship Id="rId1" Type="http://schemas.openxmlformats.org/officeDocument/2006/relationships/drawing" Target="../drawings/drawing25.xml"/>
</Relationships>
</file>

<file path=xl/worksheets/_rels/sheet26.xml.rels><?xml version="1.0" encoding="UTF-8"?>
<Relationships xmlns="http://schemas.openxmlformats.org/package/2006/relationships"><Relationship Id="rId1" Type="http://schemas.openxmlformats.org/officeDocument/2006/relationships/drawing" Target="../drawings/drawing26.xml"/>
</Relationships>
</file>

<file path=xl/worksheets/_rels/sheet27.xml.rels><?xml version="1.0" encoding="UTF-8"?>
<Relationships xmlns="http://schemas.openxmlformats.org/package/2006/relationships"><Relationship Id="rId1" Type="http://schemas.openxmlformats.org/officeDocument/2006/relationships/drawing" Target="../drawings/drawing27.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_rels/sheet6.xml.rels><?xml version="1.0" encoding="UTF-8"?>
<Relationships xmlns="http://schemas.openxmlformats.org/package/2006/relationships"><Relationship Id="rId1" Type="http://schemas.openxmlformats.org/officeDocument/2006/relationships/drawing" Target="../drawings/drawing6.xml"/>
</Relationships>
</file>

<file path=xl/worksheets/_rels/sheet7.xml.rels><?xml version="1.0" encoding="UTF-8"?>
<Relationships xmlns="http://schemas.openxmlformats.org/package/2006/relationships"><Relationship Id="rId1" Type="http://schemas.openxmlformats.org/officeDocument/2006/relationships/drawing" Target="../drawings/drawing7.xml"/>
</Relationships>
</file>

<file path=xl/worksheets/_rels/sheet8.xml.rels><?xml version="1.0" encoding="UTF-8"?>
<Relationships xmlns="http://schemas.openxmlformats.org/package/2006/relationships"><Relationship Id="rId1" Type="http://schemas.openxmlformats.org/officeDocument/2006/relationships/drawing" Target="../drawings/drawing8.xml"/>
</Relationships>
</file>

<file path=xl/worksheets/_rels/sheet9.xml.rels><?xml version="1.0" encoding="UTF-8"?>
<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99999"/>
    <pageSetUpPr fitToPage="true"/>
  </sheetPr>
  <dimension ref="A1:J28"/>
  <sheetViews>
    <sheetView showFormulas="false" showGridLines="true" showRowColHeaders="true" showZeros="true" rightToLeft="false" tabSelected="false" showOutlineSymbols="true" defaultGridColor="true" view="normal" topLeftCell="A1" colorId="64" zoomScale="124" zoomScaleNormal="124" zoomScalePageLayoutView="100" workbookViewId="0">
      <selection pane="topLeft" activeCell="A1" activeCellId="0" sqref="A1"/>
    </sheetView>
  </sheetViews>
  <sheetFormatPr defaultColWidth="10.12890625" defaultRowHeight="14.65" customHeight="true" zeroHeight="false" outlineLevelRow="0" outlineLevelCol="0"/>
  <cols>
    <col collapsed="false" customWidth="true" hidden="false" outlineLevel="0" max="2" min="2" style="1" width="0.99"/>
    <col collapsed="false" customWidth="true" hidden="false" outlineLevel="0" max="3" min="3" style="1" width="21.81"/>
    <col collapsed="false" customWidth="true" hidden="false" outlineLevel="0" max="4" min="4" style="1" width="16.22"/>
    <col collapsed="false" customWidth="true" hidden="false" outlineLevel="0" max="5" min="5" style="1" width="9.8"/>
    <col collapsed="false" customWidth="true" hidden="false" outlineLevel="0" max="6" min="6" style="1" width="21.81"/>
    <col collapsed="false" customWidth="true" hidden="false" outlineLevel="0" max="7" min="7" style="1" width="3.87"/>
    <col collapsed="false" customWidth="true" hidden="false" outlineLevel="0" max="8" min="8" style="1" width="7.62"/>
    <col collapsed="false" customWidth="true" hidden="false" outlineLevel="0" max="9" min="9" style="1" width="10.61"/>
  </cols>
  <sheetData>
    <row r="1" customFormat="false" ht="39.7" hidden="false" customHeight="true" outlineLevel="0" collapsed="false">
      <c r="A1" s="2" t="s">
        <v>0</v>
      </c>
      <c r="B1" s="2"/>
      <c r="C1" s="2"/>
      <c r="D1" s="2"/>
      <c r="E1" s="2"/>
      <c r="F1" s="2"/>
      <c r="G1" s="2"/>
      <c r="H1" s="2"/>
      <c r="I1" s="2"/>
    </row>
    <row r="2" customFormat="false" ht="19.8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c r="J2" s="7"/>
    </row>
    <row r="3" customFormat="false" ht="19.85" hidden="false" customHeight="true" outlineLevel="0" collapsed="false">
      <c r="A3" s="3"/>
      <c r="B3" s="3"/>
      <c r="C3" s="4"/>
      <c r="D3" s="4"/>
      <c r="E3" s="5"/>
      <c r="F3" s="5"/>
      <c r="G3" s="5"/>
      <c r="H3" s="5"/>
      <c r="I3" s="6"/>
      <c r="J3" s="7"/>
    </row>
    <row r="4" customFormat="false" ht="19.8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c r="J4" s="7"/>
    </row>
    <row r="5" customFormat="false" ht="19.85" hidden="false" customHeight="true" outlineLevel="0" collapsed="false">
      <c r="A5" s="8"/>
      <c r="B5" s="8"/>
      <c r="C5" s="9"/>
      <c r="D5" s="9"/>
      <c r="E5" s="9"/>
      <c r="F5" s="9"/>
      <c r="G5" s="9"/>
      <c r="H5" s="9"/>
      <c r="I5" s="10"/>
      <c r="J5" s="7"/>
    </row>
    <row r="6" customFormat="false" ht="19.8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c r="J6" s="7"/>
    </row>
    <row r="7" customFormat="false" ht="19.85" hidden="false" customHeight="true" outlineLevel="0" collapsed="false">
      <c r="A7" s="8"/>
      <c r="B7" s="8"/>
      <c r="C7" s="9"/>
      <c r="D7" s="9"/>
      <c r="E7" s="9"/>
      <c r="F7" s="9"/>
      <c r="G7" s="9"/>
      <c r="H7" s="9"/>
      <c r="I7" s="10"/>
      <c r="J7" s="7"/>
    </row>
    <row r="8" customFormat="false" ht="14.85" hidden="false" customHeight="true" outlineLevel="0" collapsed="false">
      <c r="A8" s="8" t="s">
        <v>10</v>
      </c>
      <c r="B8" s="8"/>
      <c r="C8" s="9" t="str">
        <f aca="false">'Stavební rozpočet'!F4</f>
        <v> </v>
      </c>
      <c r="D8" s="9"/>
      <c r="E8" s="9" t="s">
        <v>11</v>
      </c>
      <c r="F8" s="9" t="str">
        <f aca="false">'Stavební rozpočet'!F6</f>
        <v> </v>
      </c>
      <c r="G8" s="9"/>
      <c r="H8" s="11" t="s">
        <v>12</v>
      </c>
      <c r="I8" s="12" t="n">
        <v>151</v>
      </c>
      <c r="J8" s="7"/>
    </row>
    <row r="9" customFormat="false" ht="14.65" hidden="false" customHeight="false" outlineLevel="0" collapsed="false">
      <c r="A9" s="8"/>
      <c r="B9" s="8"/>
      <c r="C9" s="9"/>
      <c r="D9" s="9"/>
      <c r="E9" s="9"/>
      <c r="F9" s="9"/>
      <c r="G9" s="9"/>
      <c r="H9" s="11"/>
      <c r="I9" s="12"/>
      <c r="J9" s="7"/>
    </row>
    <row r="10" customFormat="false" ht="14.8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c r="J10" s="7"/>
    </row>
    <row r="11" customFormat="false" ht="14.65" hidden="false" customHeight="false" outlineLevel="0" collapsed="false">
      <c r="A11" s="13"/>
      <c r="B11" s="13"/>
      <c r="C11" s="14"/>
      <c r="D11" s="14"/>
      <c r="E11" s="14"/>
      <c r="F11" s="14"/>
      <c r="G11" s="14"/>
      <c r="H11" s="15"/>
      <c r="I11" s="16"/>
      <c r="J11" s="7"/>
    </row>
    <row r="12" customFormat="false" ht="27.5" hidden="false" customHeight="true" outlineLevel="0" collapsed="false">
      <c r="A12" s="17" t="s">
        <v>16</v>
      </c>
      <c r="B12" s="17"/>
      <c r="C12" s="17"/>
      <c r="D12" s="17"/>
      <c r="E12" s="17"/>
      <c r="F12" s="17"/>
      <c r="G12" s="17"/>
      <c r="H12" s="17"/>
      <c r="I12" s="17"/>
    </row>
    <row r="13" customFormat="false" ht="39.55" hidden="false" customHeight="true" outlineLevel="0" collapsed="false">
      <c r="A13" s="17" t="s">
        <v>17</v>
      </c>
      <c r="B13" s="17"/>
      <c r="C13" s="17"/>
      <c r="D13" s="17"/>
      <c r="E13" s="17"/>
      <c r="F13" s="17"/>
      <c r="G13" s="17"/>
      <c r="H13" s="17"/>
      <c r="I13" s="17"/>
    </row>
    <row r="14" customFormat="false" ht="27.5" hidden="false" customHeight="true" outlineLevel="0" collapsed="false">
      <c r="A14" s="17" t="s">
        <v>18</v>
      </c>
      <c r="B14" s="17"/>
      <c r="C14" s="17"/>
      <c r="D14" s="17"/>
      <c r="E14" s="17"/>
      <c r="F14" s="17"/>
      <c r="G14" s="17"/>
      <c r="H14" s="17"/>
      <c r="I14" s="17"/>
    </row>
    <row r="15" customFormat="false" ht="16.4" hidden="false" customHeight="true" outlineLevel="0" collapsed="false">
      <c r="A15" s="18" t="s">
        <v>19</v>
      </c>
    </row>
    <row r="16" customFormat="false" ht="14.65" hidden="false" customHeight="false" outlineLevel="0" collapsed="false">
      <c r="A16" s="1" t="s">
        <v>20</v>
      </c>
    </row>
    <row r="17" customFormat="false" ht="14.65" hidden="false" customHeight="false" outlineLevel="0" collapsed="false">
      <c r="A17" s="1" t="s">
        <v>21</v>
      </c>
    </row>
    <row r="18" customFormat="false" ht="14.65" hidden="false" customHeight="false" outlineLevel="0" collapsed="false">
      <c r="A18" s="19" t="s">
        <v>22</v>
      </c>
      <c r="B18" s="19"/>
      <c r="C18" s="19"/>
      <c r="D18" s="19"/>
      <c r="E18" s="19"/>
      <c r="F18" s="19"/>
    </row>
    <row r="19" customFormat="false" ht="14.65" hidden="false" customHeight="false" outlineLevel="0" collapsed="false">
      <c r="A19" s="1" t="s">
        <v>23</v>
      </c>
    </row>
    <row r="20" customFormat="false" ht="14.65" hidden="false" customHeight="false" outlineLevel="0" collapsed="false">
      <c r="A20" s="20" t="str">
        <f aca="false">I10</f>
        <v>08.01.2026</v>
      </c>
    </row>
    <row r="21" customFormat="false" ht="14.65" hidden="false" customHeight="false" outlineLevel="0" collapsed="false">
      <c r="B21" s="1" t="s">
        <v>24</v>
      </c>
    </row>
    <row r="22" customFormat="false" ht="14.65" hidden="false" customHeight="false" outlineLevel="0" collapsed="false">
      <c r="B22" s="1" t="s">
        <v>25</v>
      </c>
    </row>
    <row r="23" customFormat="false" ht="14.65" hidden="false" customHeight="false" outlineLevel="0" collapsed="false">
      <c r="B23" s="1" t="s">
        <v>26</v>
      </c>
    </row>
    <row r="24" customFormat="false" ht="14.65" hidden="false" customHeight="false" outlineLevel="0" collapsed="false">
      <c r="B24" s="1" t="s">
        <v>27</v>
      </c>
    </row>
    <row r="25" customFormat="false" ht="14.65" hidden="false" customHeight="false" outlineLevel="0" collapsed="false">
      <c r="B25" s="21" t="s">
        <v>28</v>
      </c>
    </row>
    <row r="26" customFormat="false" ht="14.65" hidden="false" customHeight="false" outlineLevel="0" collapsed="false">
      <c r="B26" s="21" t="s">
        <v>29</v>
      </c>
    </row>
    <row r="28" customFormat="false" ht="14.65" hidden="false" customHeight="false" outlineLevel="0" collapsed="false">
      <c r="A28" s="1" t="s">
        <v>30</v>
      </c>
      <c r="B28" s="21"/>
    </row>
  </sheetData>
  <mergeCells count="34">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2:I12"/>
    <mergeCell ref="A13:I13"/>
    <mergeCell ref="A14:I14"/>
  </mergeCells>
  <hyperlinks>
    <hyperlink ref="B25" r:id="rId1" display="bohuslav@rozpocty-hemala.cz"/>
    <hyperlink ref="B26" r:id="rId2" display="www.rozpocty-hemala.cz"/>
  </hyperlinks>
  <printOptions headings="false" gridLines="false" gridLinesSet="true" horizontalCentered="false" verticalCentered="false"/>
  <pageMargins left="0.7875" right="0.7875" top="1.05277777777778" bottom="1.05277777777778" header="0.7875" footer="0.7875"/>
  <pageSetup paperSize="9" scale="100" fitToWidth="1" fitToHeight="2" pageOrder="downThenOver" orientation="portrait" blackAndWhite="false" draft="false" cellComments="none" firstPageNumber="1" useFirstPageNumber="true" horizontalDpi="300" verticalDpi="300" copies="1"/>
  <headerFooter differentFirst="false" differentOddEven="false">
    <oddHeader>&amp;C&amp;"Times New Roman,obyčejné"&amp;12&amp;A</oddHeader>
    <oddFooter>&amp;C&amp;"Times New Roman,obyčejné"&amp;12Stránka &amp;P z &amp;N</oddFooter>
  </headerFooter>
  <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B8860B"/>
    <pageSetUpPr fitToPage="true"/>
  </sheetPr>
  <dimension ref="A1:BX4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12.1484375" defaultRowHeight="15" customHeight="true" zeroHeight="false" outlineLevelRow="0" outlineLevelCol="0"/>
  <cols>
    <col collapsed="false" customWidth="true" hidden="false" outlineLevel="0" max="1" min="1" style="22" width="4"/>
    <col collapsed="false" customWidth="true" hidden="false" outlineLevel="0" max="2" min="2" style="22" width="8.15"/>
    <col collapsed="false" customWidth="true" hidden="false" outlineLevel="0" max="3" min="3" style="22" width="14.74"/>
    <col collapsed="false" customWidth="true" hidden="false" outlineLevel="0" max="4" min="4" style="103" width="48.58"/>
    <col collapsed="false" customWidth="true" hidden="false" outlineLevel="0" max="5" min="5" style="22" width="16.69"/>
    <col collapsed="false" customWidth="true" hidden="false" outlineLevel="0" max="6" min="6" style="22" width="4.29"/>
    <col collapsed="false" customWidth="true" hidden="false" outlineLevel="0" max="7" min="7" style="104" width="11.58"/>
    <col collapsed="false" customWidth="true" hidden="false" outlineLevel="0" max="8" min="8" style="22" width="12"/>
    <col collapsed="false" customWidth="true" hidden="false" outlineLevel="0" max="9" min="9" style="22" width="12.9"/>
    <col collapsed="false" customWidth="true" hidden="false" outlineLevel="0" max="11" min="10" style="22" width="15.71"/>
    <col collapsed="false" customWidth="true" hidden="false" outlineLevel="0" max="13" min="12" style="22" width="9.54"/>
    <col collapsed="false" customWidth="true" hidden="false" outlineLevel="0" max="14" min="14" style="22" width="13.42"/>
    <col collapsed="false" customWidth="false" hidden="true" outlineLevel="0" max="75" min="25" style="22" width="12.15"/>
    <col collapsed="false" customWidth="true" hidden="true" outlineLevel="0" max="76" min="76" style="22" width="78.57"/>
    <col collapsed="false" customWidth="false" hidden="true" outlineLevel="0" max="78" min="77" style="22" width="12.15"/>
  </cols>
  <sheetData>
    <row r="1" customFormat="false" ht="39.7" hidden="false" customHeight="true" outlineLevel="0" collapsed="false">
      <c r="A1" s="106" t="s">
        <v>779</v>
      </c>
      <c r="B1" s="106"/>
      <c r="C1" s="106"/>
      <c r="D1" s="106"/>
      <c r="E1" s="106"/>
      <c r="F1" s="106"/>
      <c r="G1" s="106"/>
      <c r="H1" s="106"/>
      <c r="I1" s="106"/>
      <c r="J1" s="106"/>
      <c r="K1" s="106"/>
      <c r="L1" s="106"/>
      <c r="M1" s="106"/>
      <c r="N1" s="106"/>
      <c r="AS1" s="107" t="n">
        <f aca="false">SUM(AJ1:AJ2)</f>
        <v>0</v>
      </c>
      <c r="AT1" s="107" t="n">
        <f aca="false">SUM(AK1:AK2)</f>
        <v>0</v>
      </c>
      <c r="AU1" s="107" t="n">
        <f aca="false">SUM(AL1:AL2)</f>
        <v>0</v>
      </c>
    </row>
    <row r="2" customFormat="false" ht="15" hidden="false" customHeight="true" outlineLevel="0" collapsed="false">
      <c r="A2" s="3" t="s">
        <v>1</v>
      </c>
      <c r="B2" s="3"/>
      <c r="C2" s="4" t="str">
        <f aca="false">'Stavební rozpočet'!C2</f>
        <v>Přeměna sídlištních ploch – II. Etapa _ Fontána Jablko</v>
      </c>
      <c r="D2" s="4"/>
      <c r="E2" s="108" t="s">
        <v>95</v>
      </c>
      <c r="F2" s="5" t="str">
        <f aca="false">'Stavební rozpočet'!F2</f>
        <v> </v>
      </c>
      <c r="G2" s="5"/>
      <c r="H2" s="5" t="s">
        <v>2</v>
      </c>
      <c r="I2" s="73" t="str">
        <f aca="false">'Stavební rozpočet'!I2</f>
        <v>Městská část Praha 12, Generála Šišky 2375/6, 143</v>
      </c>
      <c r="J2" s="73"/>
      <c r="K2" s="73"/>
      <c r="L2" s="73"/>
      <c r="M2" s="73"/>
      <c r="N2" s="73"/>
    </row>
    <row r="3" customFormat="false" ht="15" hidden="false" customHeight="false" outlineLevel="0" collapsed="false">
      <c r="A3" s="3"/>
      <c r="B3" s="3"/>
      <c r="C3" s="4"/>
      <c r="D3" s="4"/>
      <c r="E3" s="108"/>
      <c r="F3" s="108"/>
      <c r="G3" s="5"/>
      <c r="H3" s="5"/>
      <c r="I3" s="5"/>
      <c r="J3" s="73"/>
      <c r="K3" s="73"/>
      <c r="L3" s="73"/>
      <c r="M3" s="73"/>
      <c r="N3" s="73"/>
    </row>
    <row r="4" customFormat="false" ht="15" hidden="false" customHeight="true" outlineLevel="0" collapsed="false">
      <c r="A4" s="8" t="s">
        <v>5</v>
      </c>
      <c r="B4" s="8"/>
      <c r="C4" s="9" t="str">
        <f aca="false">'Stavební rozpočet'!C4</f>
        <v>Stavební úpravy veřejného prostranství _Fontána Jablko</v>
      </c>
      <c r="D4" s="9"/>
      <c r="E4" s="11" t="s">
        <v>10</v>
      </c>
      <c r="F4" s="9" t="str">
        <f aca="false">'Stavební rozpočet'!F4</f>
        <v> </v>
      </c>
      <c r="G4" s="9"/>
      <c r="H4" s="9" t="s">
        <v>6</v>
      </c>
      <c r="I4" s="74" t="str">
        <f aca="false">'Stavební rozpočet'!I4</f>
        <v>HUA HUA ARCHITECTS s.r.o., Porážka 459/2, 602 00 Brno</v>
      </c>
      <c r="J4" s="74"/>
      <c r="K4" s="74"/>
      <c r="L4" s="74"/>
      <c r="M4" s="74"/>
      <c r="N4" s="74"/>
    </row>
    <row r="5" customFormat="false" ht="15" hidden="false" customHeight="false" outlineLevel="0" collapsed="false">
      <c r="A5" s="8"/>
      <c r="B5" s="8"/>
      <c r="C5" s="9"/>
      <c r="D5" s="9"/>
      <c r="E5" s="11"/>
      <c r="F5" s="11"/>
      <c r="G5" s="9"/>
      <c r="H5" s="9"/>
      <c r="I5" s="9"/>
      <c r="J5" s="74"/>
      <c r="K5" s="74"/>
      <c r="L5" s="74"/>
      <c r="M5" s="74"/>
      <c r="N5" s="74"/>
    </row>
    <row r="6" customFormat="false" ht="15" hidden="false" customHeight="true" outlineLevel="0" collapsed="false">
      <c r="A6" s="8" t="s">
        <v>8</v>
      </c>
      <c r="B6" s="8"/>
      <c r="C6" s="9" t="str">
        <f aca="false">'Stavební rozpočet'!C6</f>
        <v>Praha (554782),Modřany (728616), par.č. 4400/448</v>
      </c>
      <c r="D6" s="9"/>
      <c r="E6" s="11" t="s">
        <v>11</v>
      </c>
      <c r="F6" s="9" t="str">
        <f aca="false">'Stavební rozpočet'!F6</f>
        <v> </v>
      </c>
      <c r="G6" s="9"/>
      <c r="H6" s="9" t="s">
        <v>9</v>
      </c>
      <c r="I6" s="74" t="str">
        <f aca="false">'Stavební rozpočet'!I6</f>
        <v> </v>
      </c>
      <c r="J6" s="74"/>
      <c r="K6" s="74"/>
      <c r="L6" s="74"/>
      <c r="M6" s="74"/>
      <c r="N6" s="74"/>
    </row>
    <row r="7" customFormat="false" ht="15" hidden="false" customHeight="false" outlineLevel="0" collapsed="false">
      <c r="A7" s="8"/>
      <c r="B7" s="8"/>
      <c r="C7" s="9"/>
      <c r="D7" s="9"/>
      <c r="E7" s="11"/>
      <c r="F7" s="11"/>
      <c r="G7" s="9"/>
      <c r="H7" s="9"/>
      <c r="I7" s="9"/>
      <c r="J7" s="74"/>
      <c r="K7" s="74"/>
      <c r="L7" s="74"/>
      <c r="M7" s="74"/>
      <c r="N7" s="74"/>
    </row>
    <row r="8" customFormat="false" ht="15" hidden="false" customHeight="true" outlineLevel="0" collapsed="false">
      <c r="A8" s="8" t="s">
        <v>13</v>
      </c>
      <c r="B8" s="8"/>
      <c r="C8" s="9" t="str">
        <f aca="false">'Stavební rozpočet'!C8</f>
        <v>8225733</v>
      </c>
      <c r="D8" s="9"/>
      <c r="E8" s="11" t="s">
        <v>96</v>
      </c>
      <c r="F8" s="9" t="str">
        <f aca="false">'Stavební rozpočet'!F8</f>
        <v>08.01.2026</v>
      </c>
      <c r="G8" s="9"/>
      <c r="H8" s="9" t="s">
        <v>14</v>
      </c>
      <c r="I8" s="74" t="str">
        <f aca="false">'Stavební rozpočet'!I8</f>
        <v>Bohuslav Hemala</v>
      </c>
      <c r="J8" s="74"/>
      <c r="K8" s="74"/>
      <c r="L8" s="74"/>
      <c r="M8" s="74"/>
      <c r="N8" s="74"/>
    </row>
    <row r="9" customFormat="false" ht="15" hidden="false" customHeight="false" outlineLevel="0" collapsed="false">
      <c r="A9" s="8"/>
      <c r="B9" s="8"/>
      <c r="C9" s="9"/>
      <c r="D9" s="9"/>
      <c r="E9" s="11"/>
      <c r="F9" s="11"/>
      <c r="G9" s="9"/>
      <c r="H9" s="9"/>
      <c r="I9" s="9"/>
      <c r="J9" s="74"/>
      <c r="K9" s="74"/>
      <c r="L9" s="74"/>
      <c r="M9" s="74"/>
      <c r="N9" s="74"/>
    </row>
    <row r="10" customFormat="false" ht="15" hidden="false" customHeight="true" outlineLevel="0" collapsed="false">
      <c r="A10" s="109" t="s">
        <v>124</v>
      </c>
      <c r="B10" s="110" t="s">
        <v>100</v>
      </c>
      <c r="C10" s="110" t="s">
        <v>125</v>
      </c>
      <c r="D10" s="111" t="s">
        <v>101</v>
      </c>
      <c r="E10" s="111"/>
      <c r="F10" s="110" t="s">
        <v>126</v>
      </c>
      <c r="G10" s="112" t="s">
        <v>127</v>
      </c>
      <c r="H10" s="113" t="s">
        <v>128</v>
      </c>
      <c r="I10" s="77" t="s">
        <v>98</v>
      </c>
      <c r="J10" s="77"/>
      <c r="K10" s="77"/>
      <c r="L10" s="114" t="s">
        <v>99</v>
      </c>
      <c r="M10" s="114"/>
      <c r="N10" s="115" t="s">
        <v>129</v>
      </c>
      <c r="BK10" s="116" t="s">
        <v>130</v>
      </c>
      <c r="BL10" s="117" t="s">
        <v>131</v>
      </c>
      <c r="BW10" s="117" t="s">
        <v>132</v>
      </c>
    </row>
    <row r="11" customFormat="false" ht="15" hidden="false" customHeight="true" outlineLevel="0" collapsed="false">
      <c r="A11" s="118" t="s">
        <v>97</v>
      </c>
      <c r="B11" s="119" t="s">
        <v>97</v>
      </c>
      <c r="C11" s="119" t="s">
        <v>97</v>
      </c>
      <c r="D11" s="120" t="s">
        <v>133</v>
      </c>
      <c r="E11" s="120"/>
      <c r="F11" s="119" t="s">
        <v>97</v>
      </c>
      <c r="G11" s="121" t="s">
        <v>97</v>
      </c>
      <c r="H11" s="122" t="s">
        <v>134</v>
      </c>
      <c r="I11" s="81" t="s">
        <v>102</v>
      </c>
      <c r="J11" s="82" t="s">
        <v>40</v>
      </c>
      <c r="K11" s="83" t="s">
        <v>103</v>
      </c>
      <c r="L11" s="82" t="s">
        <v>135</v>
      </c>
      <c r="M11" s="122" t="s">
        <v>103</v>
      </c>
      <c r="N11" s="81" t="s">
        <v>136</v>
      </c>
      <c r="Z11" s="116" t="s">
        <v>137</v>
      </c>
      <c r="AA11" s="116" t="s">
        <v>138</v>
      </c>
      <c r="AB11" s="116" t="s">
        <v>139</v>
      </c>
      <c r="AC11" s="116" t="s">
        <v>140</v>
      </c>
      <c r="AD11" s="116" t="s">
        <v>141</v>
      </c>
      <c r="AE11" s="116" t="s">
        <v>142</v>
      </c>
      <c r="AF11" s="116" t="s">
        <v>143</v>
      </c>
      <c r="AG11" s="116" t="s">
        <v>144</v>
      </c>
      <c r="AH11" s="116" t="s">
        <v>145</v>
      </c>
      <c r="BH11" s="116" t="s">
        <v>146</v>
      </c>
      <c r="BI11" s="116" t="s">
        <v>147</v>
      </c>
      <c r="BJ11" s="116" t="s">
        <v>148</v>
      </c>
    </row>
    <row r="12" customFormat="false" ht="19.85" hidden="false" customHeight="true" outlineLevel="0" collapsed="false">
      <c r="A12" s="84"/>
      <c r="B12" s="123" t="s">
        <v>104</v>
      </c>
      <c r="C12" s="123"/>
      <c r="D12" s="124" t="s">
        <v>105</v>
      </c>
      <c r="E12" s="124"/>
      <c r="F12" s="84" t="s">
        <v>97</v>
      </c>
      <c r="G12" s="125" t="s">
        <v>97</v>
      </c>
      <c r="H12" s="84" t="s">
        <v>97</v>
      </c>
      <c r="I12" s="126" t="n">
        <f aca="false">ROUND(SUM(I13,I22,I26,I28),2)</f>
        <v>0</v>
      </c>
      <c r="J12" s="126" t="n">
        <f aca="false">ROUND(SUM(J13,J22,J26,J28),2)</f>
        <v>0</v>
      </c>
      <c r="K12" s="126" t="n">
        <f aca="false">ROUND(SUM(K13,K22,K26,K28),2)</f>
        <v>0</v>
      </c>
      <c r="L12" s="127"/>
      <c r="M12" s="126" t="n">
        <f aca="false">SUM(M13,M22,M26,M28)</f>
        <v>10.9418528</v>
      </c>
      <c r="N12" s="127"/>
    </row>
    <row r="13" customFormat="false" ht="15" hidden="false" customHeight="true" outlineLevel="0" collapsed="false">
      <c r="A13" s="128"/>
      <c r="B13" s="129" t="s">
        <v>104</v>
      </c>
      <c r="C13" s="129" t="s">
        <v>149</v>
      </c>
      <c r="D13" s="130" t="s">
        <v>150</v>
      </c>
      <c r="E13" s="130"/>
      <c r="F13" s="128" t="s">
        <v>97</v>
      </c>
      <c r="G13" s="131" t="s">
        <v>97</v>
      </c>
      <c r="H13" s="128" t="s">
        <v>97</v>
      </c>
      <c r="I13" s="132" t="n">
        <f aca="false">ROUND(SUM(I14:I21),2)</f>
        <v>0</v>
      </c>
      <c r="J13" s="132" t="n">
        <f aca="false">ROUND(SUM(J14:J21),2)</f>
        <v>0</v>
      </c>
      <c r="K13" s="132" t="n">
        <f aca="false">ROUND(SUM(K14:K21),2)</f>
        <v>0</v>
      </c>
      <c r="L13" s="133"/>
      <c r="M13" s="132" t="n">
        <f aca="false">SUM(M14:M21)</f>
        <v>6.3009</v>
      </c>
      <c r="N13" s="133"/>
      <c r="AI13" s="116" t="s">
        <v>104</v>
      </c>
      <c r="AS13" s="107" t="n">
        <f aca="false">SUM(AJ14:AJ21)</f>
        <v>0</v>
      </c>
      <c r="AT13" s="107" t="n">
        <f aca="false">SUM(AK14:AK21)</f>
        <v>0</v>
      </c>
      <c r="AU13" s="107" t="n">
        <f aca="false">SUM(AL14:AL21)</f>
        <v>0</v>
      </c>
    </row>
    <row r="14" customFormat="false" ht="15" hidden="false" customHeight="true" outlineLevel="0" collapsed="false">
      <c r="A14" s="134" t="s">
        <v>151</v>
      </c>
      <c r="B14" s="134" t="s">
        <v>104</v>
      </c>
      <c r="C14" s="134" t="s">
        <v>152</v>
      </c>
      <c r="D14" s="135" t="s">
        <v>153</v>
      </c>
      <c r="E14" s="135"/>
      <c r="F14" s="134" t="s">
        <v>154</v>
      </c>
      <c r="G14" s="136" t="n">
        <f aca="false">'Stavební rozpočet'!G14</f>
        <v>22.7</v>
      </c>
      <c r="H14" s="137" t="n">
        <f aca="false">'Stavební rozpočet'!H14</f>
        <v>0</v>
      </c>
      <c r="I14" s="137" t="n">
        <f aca="false">ROUND(G14*AO14,2)</f>
        <v>0</v>
      </c>
      <c r="J14" s="137" t="n">
        <f aca="false">ROUND(G14*AP14,2)</f>
        <v>0</v>
      </c>
      <c r="K14" s="137" t="n">
        <f aca="false">ROUND(G14*H14,2)</f>
        <v>0</v>
      </c>
      <c r="L14" s="137" t="n">
        <f aca="false">'Stavební rozpočet'!L14</f>
        <v>0.125</v>
      </c>
      <c r="M14" s="137" t="n">
        <f aca="false">G14*L14</f>
        <v>2.8375</v>
      </c>
      <c r="N14" s="138" t="s">
        <v>155</v>
      </c>
      <c r="Z14" s="88" t="n">
        <f aca="false">ROUND(IF(AQ14="5",BJ14,0),2)</f>
        <v>0</v>
      </c>
      <c r="AB14" s="88" t="n">
        <f aca="false">ROUND(IF(AQ14="1",BH14,0),2)</f>
        <v>0</v>
      </c>
      <c r="AC14" s="88" t="n">
        <f aca="false">ROUND(IF(AQ14="1",BI14,0),2)</f>
        <v>0</v>
      </c>
      <c r="AD14" s="88" t="n">
        <f aca="false">ROUND(IF(AQ14="7",BH14,0),2)</f>
        <v>0</v>
      </c>
      <c r="AE14" s="88" t="n">
        <f aca="false">ROUND(IF(AQ14="7",BI14,0),2)</f>
        <v>0</v>
      </c>
      <c r="AF14" s="88" t="n">
        <f aca="false">ROUND(IF(AQ14="2",BH14,0),2)</f>
        <v>0</v>
      </c>
      <c r="AG14" s="88" t="n">
        <f aca="false">ROUND(IF(AQ14="2",BI14,0),2)</f>
        <v>0</v>
      </c>
      <c r="AH14" s="88" t="n">
        <f aca="false">ROUND(IF(AQ14="0",BJ14,0),2)</f>
        <v>0</v>
      </c>
      <c r="AI14" s="116" t="s">
        <v>104</v>
      </c>
      <c r="AJ14" s="88" t="n">
        <f aca="false">IF(AN14=0,K14,0)</f>
        <v>0</v>
      </c>
      <c r="AK14" s="88" t="n">
        <f aca="false">IF(AN14=12,K14,0)</f>
        <v>0</v>
      </c>
      <c r="AL14" s="88" t="n">
        <f aca="false">IF(AN14=21,K14,0)</f>
        <v>0</v>
      </c>
      <c r="AN14" s="88" t="n">
        <v>21</v>
      </c>
      <c r="AO14" s="88" t="n">
        <f aca="false">H14*0</f>
        <v>0</v>
      </c>
      <c r="AP14" s="88" t="n">
        <f aca="false">H14*(1-0)</f>
        <v>0</v>
      </c>
      <c r="AQ14" s="87" t="s">
        <v>151</v>
      </c>
      <c r="AV14" s="88" t="n">
        <f aca="false">ROUND(AW14+AX14,2)</f>
        <v>0</v>
      </c>
      <c r="AW14" s="88" t="n">
        <f aca="false">ROUND(G14*AO14,2)</f>
        <v>0</v>
      </c>
      <c r="AX14" s="88" t="n">
        <f aca="false">ROUND(G14*AP14,2)</f>
        <v>0</v>
      </c>
      <c r="AY14" s="87" t="s">
        <v>156</v>
      </c>
      <c r="AZ14" s="87" t="s">
        <v>157</v>
      </c>
      <c r="BA14" s="116" t="s">
        <v>158</v>
      </c>
      <c r="BC14" s="88" t="n">
        <f aca="false">AW14+AX14</f>
        <v>0</v>
      </c>
      <c r="BD14" s="88" t="n">
        <f aca="false">H14/(100-BE14)*100</f>
        <v>0</v>
      </c>
      <c r="BE14" s="88" t="n">
        <v>0</v>
      </c>
      <c r="BF14" s="88" t="n">
        <f aca="false">M14</f>
        <v>2.8375</v>
      </c>
      <c r="BH14" s="88" t="n">
        <f aca="false">G14*AO14</f>
        <v>0</v>
      </c>
      <c r="BI14" s="88" t="n">
        <f aca="false">G14*AP14</f>
        <v>0</v>
      </c>
      <c r="BJ14" s="88" t="n">
        <f aca="false">G14*H14</f>
        <v>0</v>
      </c>
      <c r="BK14" s="87" t="s">
        <v>159</v>
      </c>
      <c r="BL14" s="88" t="n">
        <v>11</v>
      </c>
      <c r="BW14" s="88" t="n">
        <v>21</v>
      </c>
      <c r="BX14" s="9" t="s">
        <v>153</v>
      </c>
    </row>
    <row r="15" customFormat="false" ht="15" hidden="false" customHeight="true" outlineLevel="0" collapsed="false">
      <c r="A15" s="134" t="s">
        <v>160</v>
      </c>
      <c r="B15" s="134" t="s">
        <v>104</v>
      </c>
      <c r="C15" s="134" t="s">
        <v>161</v>
      </c>
      <c r="D15" s="135" t="s">
        <v>162</v>
      </c>
      <c r="E15" s="135"/>
      <c r="F15" s="134" t="s">
        <v>163</v>
      </c>
      <c r="G15" s="136" t="n">
        <f aca="false">'Stavební rozpočet'!G15</f>
        <v>1</v>
      </c>
      <c r="H15" s="137" t="n">
        <f aca="false">'Stavební rozpočet'!H15</f>
        <v>0</v>
      </c>
      <c r="I15" s="137" t="n">
        <f aca="false">ROUND(G15*AO15,2)</f>
        <v>0</v>
      </c>
      <c r="J15" s="137" t="n">
        <f aca="false">ROUND(G15*AP15,2)</f>
        <v>0</v>
      </c>
      <c r="K15" s="137" t="n">
        <f aca="false">ROUND(G15*H15,2)</f>
        <v>0</v>
      </c>
      <c r="L15" s="137" t="n">
        <f aca="false">'Stavební rozpočet'!L15</f>
        <v>0.05</v>
      </c>
      <c r="M15" s="137" t="n">
        <f aca="false">G15*L15</f>
        <v>0.05</v>
      </c>
      <c r="N15" s="138" t="s">
        <v>155</v>
      </c>
      <c r="Z15" s="88" t="n">
        <f aca="false">ROUND(IF(AQ15="5",BJ15,0),2)</f>
        <v>0</v>
      </c>
      <c r="AB15" s="88" t="n">
        <f aca="false">ROUND(IF(AQ15="1",BH15,0),2)</f>
        <v>0</v>
      </c>
      <c r="AC15" s="88" t="n">
        <f aca="false">ROUND(IF(AQ15="1",BI15,0),2)</f>
        <v>0</v>
      </c>
      <c r="AD15" s="88" t="n">
        <f aca="false">ROUND(IF(AQ15="7",BH15,0),2)</f>
        <v>0</v>
      </c>
      <c r="AE15" s="88" t="n">
        <f aca="false">ROUND(IF(AQ15="7",BI15,0),2)</f>
        <v>0</v>
      </c>
      <c r="AF15" s="88" t="n">
        <f aca="false">ROUND(IF(AQ15="2",BH15,0),2)</f>
        <v>0</v>
      </c>
      <c r="AG15" s="88" t="n">
        <f aca="false">ROUND(IF(AQ15="2",BI15,0),2)</f>
        <v>0</v>
      </c>
      <c r="AH15" s="88" t="n">
        <f aca="false">ROUND(IF(AQ15="0",BJ15,0),2)</f>
        <v>0</v>
      </c>
      <c r="AI15" s="116" t="s">
        <v>104</v>
      </c>
      <c r="AJ15" s="88" t="n">
        <f aca="false">IF(AN15=0,K15,0)</f>
        <v>0</v>
      </c>
      <c r="AK15" s="88" t="n">
        <f aca="false">IF(AN15=12,K15,0)</f>
        <v>0</v>
      </c>
      <c r="AL15" s="88" t="n">
        <f aca="false">IF(AN15=21,K15,0)</f>
        <v>0</v>
      </c>
      <c r="AN15" s="88" t="n">
        <v>21</v>
      </c>
      <c r="AO15" s="88" t="n">
        <f aca="false">H15*0</f>
        <v>0</v>
      </c>
      <c r="AP15" s="88" t="n">
        <f aca="false">H15*(1-0)</f>
        <v>0</v>
      </c>
      <c r="AQ15" s="87" t="s">
        <v>151</v>
      </c>
      <c r="AV15" s="88" t="n">
        <f aca="false">ROUND(AW15+AX15,2)</f>
        <v>0</v>
      </c>
      <c r="AW15" s="88" t="n">
        <f aca="false">ROUND(G15*AO15,2)</f>
        <v>0</v>
      </c>
      <c r="AX15" s="88" t="n">
        <f aca="false">ROUND(G15*AP15,2)</f>
        <v>0</v>
      </c>
      <c r="AY15" s="87" t="s">
        <v>156</v>
      </c>
      <c r="AZ15" s="87" t="s">
        <v>157</v>
      </c>
      <c r="BA15" s="116" t="s">
        <v>158</v>
      </c>
      <c r="BC15" s="88" t="n">
        <f aca="false">AW15+AX15</f>
        <v>0</v>
      </c>
      <c r="BD15" s="88" t="n">
        <f aca="false">H15/(100-BE15)*100</f>
        <v>0</v>
      </c>
      <c r="BE15" s="88" t="n">
        <v>0</v>
      </c>
      <c r="BF15" s="88" t="n">
        <f aca="false">M15</f>
        <v>0.05</v>
      </c>
      <c r="BH15" s="88" t="n">
        <f aca="false">G15*AO15</f>
        <v>0</v>
      </c>
      <c r="BI15" s="88" t="n">
        <f aca="false">G15*AP15</f>
        <v>0</v>
      </c>
      <c r="BJ15" s="88" t="n">
        <f aca="false">G15*H15</f>
        <v>0</v>
      </c>
      <c r="BK15" s="87" t="s">
        <v>159</v>
      </c>
      <c r="BL15" s="88" t="n">
        <v>11</v>
      </c>
      <c r="BW15" s="88" t="n">
        <v>21</v>
      </c>
      <c r="BX15" s="9" t="s">
        <v>162</v>
      </c>
    </row>
    <row r="16" customFormat="false" ht="15" hidden="false" customHeight="true" outlineLevel="0" collapsed="false">
      <c r="A16" s="134" t="s">
        <v>164</v>
      </c>
      <c r="B16" s="134" t="s">
        <v>104</v>
      </c>
      <c r="C16" s="134" t="s">
        <v>161</v>
      </c>
      <c r="D16" s="135" t="s">
        <v>165</v>
      </c>
      <c r="E16" s="135"/>
      <c r="F16" s="134" t="s">
        <v>163</v>
      </c>
      <c r="G16" s="136" t="n">
        <f aca="false">'Stavební rozpočet'!G16</f>
        <v>5</v>
      </c>
      <c r="H16" s="137" t="n">
        <f aca="false">'Stavební rozpočet'!H16</f>
        <v>0</v>
      </c>
      <c r="I16" s="137" t="n">
        <f aca="false">ROUND(G16*AO16,2)</f>
        <v>0</v>
      </c>
      <c r="J16" s="137" t="n">
        <f aca="false">ROUND(G16*AP16,2)</f>
        <v>0</v>
      </c>
      <c r="K16" s="137" t="n">
        <f aca="false">ROUND(G16*H16,2)</f>
        <v>0</v>
      </c>
      <c r="L16" s="137" t="n">
        <f aca="false">'Stavební rozpočet'!L16</f>
        <v>0.15</v>
      </c>
      <c r="M16" s="137" t="n">
        <f aca="false">G16*L16</f>
        <v>0.75</v>
      </c>
      <c r="N16" s="138" t="s">
        <v>155</v>
      </c>
      <c r="Z16" s="88" t="n">
        <f aca="false">ROUND(IF(AQ16="5",BJ16,0),2)</f>
        <v>0</v>
      </c>
      <c r="AB16" s="88" t="n">
        <f aca="false">ROUND(IF(AQ16="1",BH16,0),2)</f>
        <v>0</v>
      </c>
      <c r="AC16" s="88" t="n">
        <f aca="false">ROUND(IF(AQ16="1",BI16,0),2)</f>
        <v>0</v>
      </c>
      <c r="AD16" s="88" t="n">
        <f aca="false">ROUND(IF(AQ16="7",BH16,0),2)</f>
        <v>0</v>
      </c>
      <c r="AE16" s="88" t="n">
        <f aca="false">ROUND(IF(AQ16="7",BI16,0),2)</f>
        <v>0</v>
      </c>
      <c r="AF16" s="88" t="n">
        <f aca="false">ROUND(IF(AQ16="2",BH16,0),2)</f>
        <v>0</v>
      </c>
      <c r="AG16" s="88" t="n">
        <f aca="false">ROUND(IF(AQ16="2",BI16,0),2)</f>
        <v>0</v>
      </c>
      <c r="AH16" s="88" t="n">
        <f aca="false">ROUND(IF(AQ16="0",BJ16,0),2)</f>
        <v>0</v>
      </c>
      <c r="AI16" s="116" t="s">
        <v>104</v>
      </c>
      <c r="AJ16" s="88" t="n">
        <f aca="false">IF(AN16=0,K16,0)</f>
        <v>0</v>
      </c>
      <c r="AK16" s="88" t="n">
        <f aca="false">IF(AN16=12,K16,0)</f>
        <v>0</v>
      </c>
      <c r="AL16" s="88" t="n">
        <f aca="false">IF(AN16=21,K16,0)</f>
        <v>0</v>
      </c>
      <c r="AN16" s="88" t="n">
        <v>21</v>
      </c>
      <c r="AO16" s="88" t="n">
        <f aca="false">H16*0</f>
        <v>0</v>
      </c>
      <c r="AP16" s="88" t="n">
        <f aca="false">H16*(1-0)</f>
        <v>0</v>
      </c>
      <c r="AQ16" s="87" t="s">
        <v>151</v>
      </c>
      <c r="AV16" s="88" t="n">
        <f aca="false">ROUND(AW16+AX16,2)</f>
        <v>0</v>
      </c>
      <c r="AW16" s="88" t="n">
        <f aca="false">ROUND(G16*AO16,2)</f>
        <v>0</v>
      </c>
      <c r="AX16" s="88" t="n">
        <f aca="false">ROUND(G16*AP16,2)</f>
        <v>0</v>
      </c>
      <c r="AY16" s="87" t="s">
        <v>156</v>
      </c>
      <c r="AZ16" s="87" t="s">
        <v>157</v>
      </c>
      <c r="BA16" s="116" t="s">
        <v>158</v>
      </c>
      <c r="BC16" s="88" t="n">
        <f aca="false">AW16+AX16</f>
        <v>0</v>
      </c>
      <c r="BD16" s="88" t="n">
        <f aca="false">H16/(100-BE16)*100</f>
        <v>0</v>
      </c>
      <c r="BE16" s="88" t="n">
        <v>0</v>
      </c>
      <c r="BF16" s="88" t="n">
        <f aca="false">M16</f>
        <v>0.75</v>
      </c>
      <c r="BH16" s="88" t="n">
        <f aca="false">G16*AO16</f>
        <v>0</v>
      </c>
      <c r="BI16" s="88" t="n">
        <f aca="false">G16*AP16</f>
        <v>0</v>
      </c>
      <c r="BJ16" s="88" t="n">
        <f aca="false">G16*H16</f>
        <v>0</v>
      </c>
      <c r="BK16" s="87" t="s">
        <v>159</v>
      </c>
      <c r="BL16" s="88" t="n">
        <v>11</v>
      </c>
      <c r="BW16" s="88" t="n">
        <v>21</v>
      </c>
      <c r="BX16" s="9" t="s">
        <v>165</v>
      </c>
    </row>
    <row r="17" customFormat="false" ht="15" hidden="false" customHeight="true" outlineLevel="0" collapsed="false">
      <c r="A17" s="134" t="s">
        <v>166</v>
      </c>
      <c r="B17" s="134" t="s">
        <v>104</v>
      </c>
      <c r="C17" s="134" t="s">
        <v>167</v>
      </c>
      <c r="D17" s="135" t="s">
        <v>168</v>
      </c>
      <c r="E17" s="135"/>
      <c r="F17" s="134" t="s">
        <v>169</v>
      </c>
      <c r="G17" s="136" t="n">
        <f aca="false">'Stavební rozpočet'!G17</f>
        <v>6</v>
      </c>
      <c r="H17" s="137" t="n">
        <f aca="false">'Stavební rozpočet'!H17</f>
        <v>0</v>
      </c>
      <c r="I17" s="137" t="n">
        <f aca="false">ROUND(G17*AO17,2)</f>
        <v>0</v>
      </c>
      <c r="J17" s="137" t="n">
        <f aca="false">ROUND(G17*AP17,2)</f>
        <v>0</v>
      </c>
      <c r="K17" s="137" t="n">
        <f aca="false">ROUND(G17*H17,2)</f>
        <v>0</v>
      </c>
      <c r="L17" s="137" t="n">
        <f aca="false">'Stavební rozpočet'!L17</f>
        <v>0.11</v>
      </c>
      <c r="M17" s="137" t="n">
        <f aca="false">G17*L17</f>
        <v>0.66</v>
      </c>
      <c r="N17" s="138" t="s">
        <v>155</v>
      </c>
      <c r="Z17" s="88" t="n">
        <f aca="false">ROUND(IF(AQ17="5",BJ17,0),2)</f>
        <v>0</v>
      </c>
      <c r="AB17" s="88" t="n">
        <f aca="false">ROUND(IF(AQ17="1",BH17,0),2)</f>
        <v>0</v>
      </c>
      <c r="AC17" s="88" t="n">
        <f aca="false">ROUND(IF(AQ17="1",BI17,0),2)</f>
        <v>0</v>
      </c>
      <c r="AD17" s="88" t="n">
        <f aca="false">ROUND(IF(AQ17="7",BH17,0),2)</f>
        <v>0</v>
      </c>
      <c r="AE17" s="88" t="n">
        <f aca="false">ROUND(IF(AQ17="7",BI17,0),2)</f>
        <v>0</v>
      </c>
      <c r="AF17" s="88" t="n">
        <f aca="false">ROUND(IF(AQ17="2",BH17,0),2)</f>
        <v>0</v>
      </c>
      <c r="AG17" s="88" t="n">
        <f aca="false">ROUND(IF(AQ17="2",BI17,0),2)</f>
        <v>0</v>
      </c>
      <c r="AH17" s="88" t="n">
        <f aca="false">ROUND(IF(AQ17="0",BJ17,0),2)</f>
        <v>0</v>
      </c>
      <c r="AI17" s="116" t="s">
        <v>104</v>
      </c>
      <c r="AJ17" s="88" t="n">
        <f aca="false">IF(AN17=0,K17,0)</f>
        <v>0</v>
      </c>
      <c r="AK17" s="88" t="n">
        <f aca="false">IF(AN17=12,K17,0)</f>
        <v>0</v>
      </c>
      <c r="AL17" s="88" t="n">
        <f aca="false">IF(AN17=21,K17,0)</f>
        <v>0</v>
      </c>
      <c r="AN17" s="88" t="n">
        <v>21</v>
      </c>
      <c r="AO17" s="88" t="n">
        <f aca="false">H17*0</f>
        <v>0</v>
      </c>
      <c r="AP17" s="88" t="n">
        <f aca="false">H17*(1-0)</f>
        <v>0</v>
      </c>
      <c r="AQ17" s="87" t="s">
        <v>151</v>
      </c>
      <c r="AV17" s="88" t="n">
        <f aca="false">ROUND(AW17+AX17,2)</f>
        <v>0</v>
      </c>
      <c r="AW17" s="88" t="n">
        <f aca="false">ROUND(G17*AO17,2)</f>
        <v>0</v>
      </c>
      <c r="AX17" s="88" t="n">
        <f aca="false">ROUND(G17*AP17,2)</f>
        <v>0</v>
      </c>
      <c r="AY17" s="87" t="s">
        <v>156</v>
      </c>
      <c r="AZ17" s="87" t="s">
        <v>157</v>
      </c>
      <c r="BA17" s="116" t="s">
        <v>158</v>
      </c>
      <c r="BC17" s="88" t="n">
        <f aca="false">AW17+AX17</f>
        <v>0</v>
      </c>
      <c r="BD17" s="88" t="n">
        <f aca="false">H17/(100-BE17)*100</f>
        <v>0</v>
      </c>
      <c r="BE17" s="88" t="n">
        <v>0</v>
      </c>
      <c r="BF17" s="88" t="n">
        <f aca="false">M17</f>
        <v>0.66</v>
      </c>
      <c r="BH17" s="88" t="n">
        <f aca="false">G17*AO17</f>
        <v>0</v>
      </c>
      <c r="BI17" s="88" t="n">
        <f aca="false">G17*AP17</f>
        <v>0</v>
      </c>
      <c r="BJ17" s="88" t="n">
        <f aca="false">G17*H17</f>
        <v>0</v>
      </c>
      <c r="BK17" s="87" t="s">
        <v>159</v>
      </c>
      <c r="BL17" s="88" t="n">
        <v>11</v>
      </c>
      <c r="BW17" s="88" t="n">
        <v>21</v>
      </c>
      <c r="BX17" s="9" t="s">
        <v>168</v>
      </c>
    </row>
    <row r="18" customFormat="false" ht="15" hidden="false" customHeight="true" outlineLevel="0" collapsed="false">
      <c r="A18" s="134" t="s">
        <v>170</v>
      </c>
      <c r="B18" s="134" t="s">
        <v>104</v>
      </c>
      <c r="C18" s="134" t="s">
        <v>171</v>
      </c>
      <c r="D18" s="135" t="s">
        <v>172</v>
      </c>
      <c r="E18" s="135"/>
      <c r="F18" s="134" t="s">
        <v>169</v>
      </c>
      <c r="G18" s="136" t="n">
        <f aca="false">'Stavební rozpočet'!G18</f>
        <v>6</v>
      </c>
      <c r="H18" s="137" t="n">
        <f aca="false">'Stavební rozpočet'!H18</f>
        <v>0</v>
      </c>
      <c r="I18" s="137" t="n">
        <f aca="false">ROUND(G18*AO18,2)</f>
        <v>0</v>
      </c>
      <c r="J18" s="137" t="n">
        <f aca="false">ROUND(G18*AP18,2)</f>
        <v>0</v>
      </c>
      <c r="K18" s="137" t="n">
        <f aca="false">ROUND(G18*H18,2)</f>
        <v>0</v>
      </c>
      <c r="L18" s="137" t="n">
        <f aca="false">'Stavební rozpočet'!L18</f>
        <v>0.12</v>
      </c>
      <c r="M18" s="137" t="n">
        <f aca="false">G18*L18</f>
        <v>0.72</v>
      </c>
      <c r="N18" s="138" t="s">
        <v>155</v>
      </c>
      <c r="Z18" s="88" t="n">
        <f aca="false">ROUND(IF(AQ18="5",BJ18,0),2)</f>
        <v>0</v>
      </c>
      <c r="AB18" s="88" t="n">
        <f aca="false">ROUND(IF(AQ18="1",BH18,0),2)</f>
        <v>0</v>
      </c>
      <c r="AC18" s="88" t="n">
        <f aca="false">ROUND(IF(AQ18="1",BI18,0),2)</f>
        <v>0</v>
      </c>
      <c r="AD18" s="88" t="n">
        <f aca="false">ROUND(IF(AQ18="7",BH18,0),2)</f>
        <v>0</v>
      </c>
      <c r="AE18" s="88" t="n">
        <f aca="false">ROUND(IF(AQ18="7",BI18,0),2)</f>
        <v>0</v>
      </c>
      <c r="AF18" s="88" t="n">
        <f aca="false">ROUND(IF(AQ18="2",BH18,0),2)</f>
        <v>0</v>
      </c>
      <c r="AG18" s="88" t="n">
        <f aca="false">ROUND(IF(AQ18="2",BI18,0),2)</f>
        <v>0</v>
      </c>
      <c r="AH18" s="88" t="n">
        <f aca="false">ROUND(IF(AQ18="0",BJ18,0),2)</f>
        <v>0</v>
      </c>
      <c r="AI18" s="116" t="s">
        <v>104</v>
      </c>
      <c r="AJ18" s="88" t="n">
        <f aca="false">IF(AN18=0,K18,0)</f>
        <v>0</v>
      </c>
      <c r="AK18" s="88" t="n">
        <f aca="false">IF(AN18=12,K18,0)</f>
        <v>0</v>
      </c>
      <c r="AL18" s="88" t="n">
        <f aca="false">IF(AN18=21,K18,0)</f>
        <v>0</v>
      </c>
      <c r="AN18" s="88" t="n">
        <v>21</v>
      </c>
      <c r="AO18" s="88" t="n">
        <f aca="false">H18*0</f>
        <v>0</v>
      </c>
      <c r="AP18" s="88" t="n">
        <f aca="false">H18*(1-0)</f>
        <v>0</v>
      </c>
      <c r="AQ18" s="87" t="s">
        <v>151</v>
      </c>
      <c r="AV18" s="88" t="n">
        <f aca="false">ROUND(AW18+AX18,2)</f>
        <v>0</v>
      </c>
      <c r="AW18" s="88" t="n">
        <f aca="false">ROUND(G18*AO18,2)</f>
        <v>0</v>
      </c>
      <c r="AX18" s="88" t="n">
        <f aca="false">ROUND(G18*AP18,2)</f>
        <v>0</v>
      </c>
      <c r="AY18" s="87" t="s">
        <v>156</v>
      </c>
      <c r="AZ18" s="87" t="s">
        <v>157</v>
      </c>
      <c r="BA18" s="116" t="s">
        <v>158</v>
      </c>
      <c r="BC18" s="88" t="n">
        <f aca="false">AW18+AX18</f>
        <v>0</v>
      </c>
      <c r="BD18" s="88" t="n">
        <f aca="false">H18/(100-BE18)*100</f>
        <v>0</v>
      </c>
      <c r="BE18" s="88" t="n">
        <v>0</v>
      </c>
      <c r="BF18" s="88" t="n">
        <f aca="false">M18</f>
        <v>0.72</v>
      </c>
      <c r="BH18" s="88" t="n">
        <f aca="false">G18*AO18</f>
        <v>0</v>
      </c>
      <c r="BI18" s="88" t="n">
        <f aca="false">G18*AP18</f>
        <v>0</v>
      </c>
      <c r="BJ18" s="88" t="n">
        <f aca="false">G18*H18</f>
        <v>0</v>
      </c>
      <c r="BK18" s="87" t="s">
        <v>159</v>
      </c>
      <c r="BL18" s="88" t="n">
        <v>11</v>
      </c>
      <c r="BW18" s="88" t="n">
        <v>21</v>
      </c>
      <c r="BX18" s="9" t="s">
        <v>172</v>
      </c>
    </row>
    <row r="19" customFormat="false" ht="15" hidden="false" customHeight="true" outlineLevel="0" collapsed="false">
      <c r="A19" s="134" t="s">
        <v>173</v>
      </c>
      <c r="B19" s="134" t="s">
        <v>104</v>
      </c>
      <c r="C19" s="134" t="s">
        <v>174</v>
      </c>
      <c r="D19" s="135" t="s">
        <v>175</v>
      </c>
      <c r="E19" s="135"/>
      <c r="F19" s="134" t="s">
        <v>169</v>
      </c>
      <c r="G19" s="136" t="n">
        <f aca="false">'Stavební rozpočet'!G19</f>
        <v>12</v>
      </c>
      <c r="H19" s="137" t="n">
        <f aca="false">'Stavební rozpočet'!H19</f>
        <v>0</v>
      </c>
      <c r="I19" s="137" t="n">
        <f aca="false">ROUND(G19*AO19,2)</f>
        <v>0</v>
      </c>
      <c r="J19" s="137" t="n">
        <f aca="false">ROUND(G19*AP19,2)</f>
        <v>0</v>
      </c>
      <c r="K19" s="137" t="n">
        <f aca="false">ROUND(G19*H19,2)</f>
        <v>0</v>
      </c>
      <c r="L19" s="137" t="n">
        <f aca="false">'Stavební rozpočet'!L19</f>
        <v>0.05095</v>
      </c>
      <c r="M19" s="137" t="n">
        <f aca="false">G19*L19</f>
        <v>0.6114</v>
      </c>
      <c r="N19" s="138" t="s">
        <v>155</v>
      </c>
      <c r="Z19" s="88" t="n">
        <f aca="false">ROUND(IF(AQ19="5",BJ19,0),2)</f>
        <v>0</v>
      </c>
      <c r="AB19" s="88" t="n">
        <f aca="false">ROUND(IF(AQ19="1",BH19,0),2)</f>
        <v>0</v>
      </c>
      <c r="AC19" s="88" t="n">
        <f aca="false">ROUND(IF(AQ19="1",BI19,0),2)</f>
        <v>0</v>
      </c>
      <c r="AD19" s="88" t="n">
        <f aca="false">ROUND(IF(AQ19="7",BH19,0),2)</f>
        <v>0</v>
      </c>
      <c r="AE19" s="88" t="n">
        <f aca="false">ROUND(IF(AQ19="7",BI19,0),2)</f>
        <v>0</v>
      </c>
      <c r="AF19" s="88" t="n">
        <f aca="false">ROUND(IF(AQ19="2",BH19,0),2)</f>
        <v>0</v>
      </c>
      <c r="AG19" s="88" t="n">
        <f aca="false">ROUND(IF(AQ19="2",BI19,0),2)</f>
        <v>0</v>
      </c>
      <c r="AH19" s="88" t="n">
        <f aca="false">ROUND(IF(AQ19="0",BJ19,0),2)</f>
        <v>0</v>
      </c>
      <c r="AI19" s="116" t="s">
        <v>104</v>
      </c>
      <c r="AJ19" s="88" t="n">
        <f aca="false">IF(AN19=0,K19,0)</f>
        <v>0</v>
      </c>
      <c r="AK19" s="88" t="n">
        <f aca="false">IF(AN19=12,K19,0)</f>
        <v>0</v>
      </c>
      <c r="AL19" s="88" t="n">
        <f aca="false">IF(AN19=21,K19,0)</f>
        <v>0</v>
      </c>
      <c r="AN19" s="88" t="n">
        <v>21</v>
      </c>
      <c r="AO19" s="88" t="n">
        <f aca="false">H19*0.12622393</f>
        <v>0</v>
      </c>
      <c r="AP19" s="88" t="n">
        <f aca="false">H19*(1-0.12622393)</f>
        <v>0</v>
      </c>
      <c r="AQ19" s="87" t="s">
        <v>151</v>
      </c>
      <c r="AV19" s="88" t="n">
        <f aca="false">ROUND(AW19+AX19,2)</f>
        <v>0</v>
      </c>
      <c r="AW19" s="88" t="n">
        <f aca="false">ROUND(G19*AO19,2)</f>
        <v>0</v>
      </c>
      <c r="AX19" s="88" t="n">
        <f aca="false">ROUND(G19*AP19,2)</f>
        <v>0</v>
      </c>
      <c r="AY19" s="87" t="s">
        <v>156</v>
      </c>
      <c r="AZ19" s="87" t="s">
        <v>157</v>
      </c>
      <c r="BA19" s="116" t="s">
        <v>158</v>
      </c>
      <c r="BC19" s="88" t="n">
        <f aca="false">AW19+AX19</f>
        <v>0</v>
      </c>
      <c r="BD19" s="88" t="n">
        <f aca="false">H19/(100-BE19)*100</f>
        <v>0</v>
      </c>
      <c r="BE19" s="88" t="n">
        <v>0</v>
      </c>
      <c r="BF19" s="88" t="n">
        <f aca="false">M19</f>
        <v>0.6114</v>
      </c>
      <c r="BH19" s="88" t="n">
        <f aca="false">G19*AO19</f>
        <v>0</v>
      </c>
      <c r="BI19" s="88" t="n">
        <f aca="false">G19*AP19</f>
        <v>0</v>
      </c>
      <c r="BJ19" s="88" t="n">
        <f aca="false">G19*H19</f>
        <v>0</v>
      </c>
      <c r="BK19" s="87" t="s">
        <v>159</v>
      </c>
      <c r="BL19" s="88" t="n">
        <v>11</v>
      </c>
      <c r="BW19" s="88" t="n">
        <v>21</v>
      </c>
      <c r="BX19" s="9" t="s">
        <v>175</v>
      </c>
    </row>
    <row r="20" customFormat="false" ht="15" hidden="false" customHeight="true" outlineLevel="0" collapsed="false">
      <c r="A20" s="139" t="s">
        <v>176</v>
      </c>
      <c r="B20" s="139" t="s">
        <v>104</v>
      </c>
      <c r="C20" s="139" t="s">
        <v>177</v>
      </c>
      <c r="D20" s="140" t="s">
        <v>178</v>
      </c>
      <c r="E20" s="140"/>
      <c r="F20" s="139" t="s">
        <v>179</v>
      </c>
      <c r="G20" s="141" t="n">
        <f aca="false">'Stavební rozpočet'!G20</f>
        <v>0.672</v>
      </c>
      <c r="H20" s="142" t="n">
        <f aca="false">'Stavební rozpočet'!H20</f>
        <v>0</v>
      </c>
      <c r="I20" s="142" t="n">
        <f aca="false">ROUND(G20*AO20,2)</f>
        <v>0</v>
      </c>
      <c r="J20" s="142" t="n">
        <f aca="false">ROUND(G20*AP20,2)</f>
        <v>0</v>
      </c>
      <c r="K20" s="142" t="n">
        <f aca="false">ROUND(G20*H20,2)</f>
        <v>0</v>
      </c>
      <c r="L20" s="142" t="n">
        <f aca="false">'Stavební rozpočet'!L20</f>
        <v>1</v>
      </c>
      <c r="M20" s="142" t="n">
        <f aca="false">G20*L20</f>
        <v>0.672</v>
      </c>
      <c r="N20" s="143" t="s">
        <v>155</v>
      </c>
      <c r="Z20" s="88" t="n">
        <f aca="false">ROUND(IF(AQ20="5",BJ20,0),2)</f>
        <v>0</v>
      </c>
      <c r="AB20" s="88" t="n">
        <f aca="false">ROUND(IF(AQ20="1",BH20,0),2)</f>
        <v>0</v>
      </c>
      <c r="AC20" s="88" t="n">
        <f aca="false">ROUND(IF(AQ20="1",BI20,0),2)</f>
        <v>0</v>
      </c>
      <c r="AD20" s="88" t="n">
        <f aca="false">ROUND(IF(AQ20="7",BH20,0),2)</f>
        <v>0</v>
      </c>
      <c r="AE20" s="88" t="n">
        <f aca="false">ROUND(IF(AQ20="7",BI20,0),2)</f>
        <v>0</v>
      </c>
      <c r="AF20" s="88" t="n">
        <f aca="false">ROUND(IF(AQ20="2",BH20,0),2)</f>
        <v>0</v>
      </c>
      <c r="AG20" s="88" t="n">
        <f aca="false">ROUND(IF(AQ20="2",BI20,0),2)</f>
        <v>0</v>
      </c>
      <c r="AH20" s="88" t="n">
        <f aca="false">ROUND(IF(AQ20="0",BJ20,0),2)</f>
        <v>0</v>
      </c>
      <c r="AI20" s="116" t="s">
        <v>104</v>
      </c>
      <c r="AJ20" s="144" t="n">
        <f aca="false">IF(AN20=0,K20,0)</f>
        <v>0</v>
      </c>
      <c r="AK20" s="144" t="n">
        <f aca="false">IF(AN20=12,K20,0)</f>
        <v>0</v>
      </c>
      <c r="AL20" s="144" t="n">
        <f aca="false">IF(AN20=21,K20,0)</f>
        <v>0</v>
      </c>
      <c r="AN20" s="88" t="n">
        <v>21</v>
      </c>
      <c r="AO20" s="88" t="n">
        <f aca="false">H20*1</f>
        <v>0</v>
      </c>
      <c r="AP20" s="88" t="n">
        <f aca="false">H20*(1-1)</f>
        <v>0</v>
      </c>
      <c r="AQ20" s="145" t="s">
        <v>151</v>
      </c>
      <c r="AV20" s="88" t="n">
        <f aca="false">ROUND(AW20+AX20,2)</f>
        <v>0</v>
      </c>
      <c r="AW20" s="88" t="n">
        <f aca="false">ROUND(G20*AO20,2)</f>
        <v>0</v>
      </c>
      <c r="AX20" s="88" t="n">
        <f aca="false">ROUND(G20*AP20,2)</f>
        <v>0</v>
      </c>
      <c r="AY20" s="87" t="s">
        <v>156</v>
      </c>
      <c r="AZ20" s="87" t="s">
        <v>157</v>
      </c>
      <c r="BA20" s="116" t="s">
        <v>158</v>
      </c>
      <c r="BC20" s="88" t="n">
        <f aca="false">AW20+AX20</f>
        <v>0</v>
      </c>
      <c r="BD20" s="88" t="n">
        <f aca="false">H20/(100-BE20)*100</f>
        <v>0</v>
      </c>
      <c r="BE20" s="88" t="n">
        <v>0</v>
      </c>
      <c r="BF20" s="88" t="n">
        <f aca="false">M20</f>
        <v>0.672</v>
      </c>
      <c r="BH20" s="144" t="n">
        <f aca="false">G20*AO20</f>
        <v>0</v>
      </c>
      <c r="BI20" s="144" t="n">
        <f aca="false">G20*AP20</f>
        <v>0</v>
      </c>
      <c r="BJ20" s="144" t="n">
        <f aca="false">G20*H20</f>
        <v>0</v>
      </c>
      <c r="BK20" s="145" t="s">
        <v>180</v>
      </c>
      <c r="BL20" s="88" t="n">
        <v>11</v>
      </c>
      <c r="BW20" s="88" t="n">
        <v>21</v>
      </c>
      <c r="BX20" s="146" t="s">
        <v>178</v>
      </c>
    </row>
    <row r="21" customFormat="false" ht="15" hidden="false" customHeight="true" outlineLevel="0" collapsed="false">
      <c r="A21" s="134" t="s">
        <v>181</v>
      </c>
      <c r="B21" s="134" t="s">
        <v>104</v>
      </c>
      <c r="C21" s="134" t="s">
        <v>182</v>
      </c>
      <c r="D21" s="135" t="s">
        <v>183</v>
      </c>
      <c r="E21" s="135"/>
      <c r="F21" s="134" t="s">
        <v>179</v>
      </c>
      <c r="G21" s="136" t="n">
        <f aca="false">'Stavební rozpočet'!G21</f>
        <v>0.611</v>
      </c>
      <c r="H21" s="137" t="n">
        <f aca="false">'Stavební rozpočet'!H21</f>
        <v>0</v>
      </c>
      <c r="I21" s="137" t="n">
        <f aca="false">ROUND(G21*AO21,2)</f>
        <v>0</v>
      </c>
      <c r="J21" s="137" t="n">
        <f aca="false">ROUND(G21*AP21,2)</f>
        <v>0</v>
      </c>
      <c r="K21" s="137" t="n">
        <f aca="false">ROUND(G21*H21,2)</f>
        <v>0</v>
      </c>
      <c r="L21" s="137" t="n">
        <f aca="false">'Stavební rozpočet'!L21</f>
        <v>0</v>
      </c>
      <c r="M21" s="137" t="n">
        <f aca="false">G21*L21</f>
        <v>0</v>
      </c>
      <c r="N21" s="138" t="s">
        <v>155</v>
      </c>
      <c r="Z21" s="88" t="n">
        <f aca="false">ROUND(IF(AQ21="5",BJ21,0),2)</f>
        <v>0</v>
      </c>
      <c r="AB21" s="88" t="n">
        <f aca="false">ROUND(IF(AQ21="1",BH21,0),2)</f>
        <v>0</v>
      </c>
      <c r="AC21" s="88" t="n">
        <f aca="false">ROUND(IF(AQ21="1",BI21,0),2)</f>
        <v>0</v>
      </c>
      <c r="AD21" s="88" t="n">
        <f aca="false">ROUND(IF(AQ21="7",BH21,0),2)</f>
        <v>0</v>
      </c>
      <c r="AE21" s="88" t="n">
        <f aca="false">ROUND(IF(AQ21="7",BI21,0),2)</f>
        <v>0</v>
      </c>
      <c r="AF21" s="88" t="n">
        <f aca="false">ROUND(IF(AQ21="2",BH21,0),2)</f>
        <v>0</v>
      </c>
      <c r="AG21" s="88" t="n">
        <f aca="false">ROUND(IF(AQ21="2",BI21,0),2)</f>
        <v>0</v>
      </c>
      <c r="AH21" s="88" t="n">
        <f aca="false">ROUND(IF(AQ21="0",BJ21,0),2)</f>
        <v>0</v>
      </c>
      <c r="AI21" s="116" t="s">
        <v>104</v>
      </c>
      <c r="AJ21" s="88" t="n">
        <f aca="false">IF(AN21=0,K21,0)</f>
        <v>0</v>
      </c>
      <c r="AK21" s="88" t="n">
        <f aca="false">IF(AN21=12,K21,0)</f>
        <v>0</v>
      </c>
      <c r="AL21" s="88" t="n">
        <f aca="false">IF(AN21=21,K21,0)</f>
        <v>0</v>
      </c>
      <c r="AN21" s="88" t="n">
        <v>21</v>
      </c>
      <c r="AO21" s="88" t="n">
        <f aca="false">H21*0</f>
        <v>0</v>
      </c>
      <c r="AP21" s="88" t="n">
        <f aca="false">H21*(1-0)</f>
        <v>0</v>
      </c>
      <c r="AQ21" s="87" t="s">
        <v>170</v>
      </c>
      <c r="AV21" s="88" t="n">
        <f aca="false">ROUND(AW21+AX21,2)</f>
        <v>0</v>
      </c>
      <c r="AW21" s="88" t="n">
        <f aca="false">ROUND(G21*AO21,2)</f>
        <v>0</v>
      </c>
      <c r="AX21" s="88" t="n">
        <f aca="false">ROUND(G21*AP21,2)</f>
        <v>0</v>
      </c>
      <c r="AY21" s="87" t="s">
        <v>156</v>
      </c>
      <c r="AZ21" s="87" t="s">
        <v>157</v>
      </c>
      <c r="BA21" s="116" t="s">
        <v>158</v>
      </c>
      <c r="BC21" s="88" t="n">
        <f aca="false">AW21+AX21</f>
        <v>0</v>
      </c>
      <c r="BD21" s="88" t="n">
        <f aca="false">H21/(100-BE21)*100</f>
        <v>0</v>
      </c>
      <c r="BE21" s="88" t="n">
        <v>0</v>
      </c>
      <c r="BF21" s="88" t="n">
        <f aca="false">M21</f>
        <v>0</v>
      </c>
      <c r="BH21" s="88" t="n">
        <f aca="false">G21*AO21</f>
        <v>0</v>
      </c>
      <c r="BI21" s="88" t="n">
        <f aca="false">G21*AP21</f>
        <v>0</v>
      </c>
      <c r="BJ21" s="88" t="n">
        <f aca="false">G21*H21</f>
        <v>0</v>
      </c>
      <c r="BK21" s="87" t="s">
        <v>159</v>
      </c>
      <c r="BL21" s="88" t="n">
        <v>11</v>
      </c>
      <c r="BW21" s="88" t="n">
        <v>21</v>
      </c>
      <c r="BX21" s="9" t="s">
        <v>183</v>
      </c>
    </row>
    <row r="22" customFormat="false" ht="15" hidden="false" customHeight="true" outlineLevel="0" collapsed="false">
      <c r="A22" s="128"/>
      <c r="B22" s="129" t="s">
        <v>104</v>
      </c>
      <c r="C22" s="129" t="s">
        <v>184</v>
      </c>
      <c r="D22" s="130" t="s">
        <v>185</v>
      </c>
      <c r="E22" s="130"/>
      <c r="F22" s="128" t="s">
        <v>97</v>
      </c>
      <c r="G22" s="131" t="s">
        <v>97</v>
      </c>
      <c r="H22" s="128" t="s">
        <v>97</v>
      </c>
      <c r="I22" s="132" t="n">
        <f aca="false">ROUND(SUM(I23:I25),2)</f>
        <v>0</v>
      </c>
      <c r="J22" s="132" t="n">
        <f aca="false">ROUND(SUM(J23:J25),2)</f>
        <v>0</v>
      </c>
      <c r="K22" s="132" t="n">
        <f aca="false">ROUND(SUM(K23:K25),2)</f>
        <v>0</v>
      </c>
      <c r="L22" s="133"/>
      <c r="M22" s="132" t="n">
        <f aca="false">SUM(M23:M25)</f>
        <v>4.4306528</v>
      </c>
      <c r="N22" s="133"/>
      <c r="AI22" s="116" t="s">
        <v>104</v>
      </c>
      <c r="AS22" s="107" t="n">
        <f aca="false">SUM(AJ23:AJ25)</f>
        <v>0</v>
      </c>
      <c r="AT22" s="107" t="n">
        <f aca="false">SUM(AK23:AK25)</f>
        <v>0</v>
      </c>
      <c r="AU22" s="107" t="n">
        <f aca="false">SUM(AL23:AL25)</f>
        <v>0</v>
      </c>
    </row>
    <row r="23" customFormat="false" ht="15" hidden="false" customHeight="true" outlineLevel="0" collapsed="false">
      <c r="A23" s="134" t="s">
        <v>186</v>
      </c>
      <c r="B23" s="134" t="s">
        <v>104</v>
      </c>
      <c r="C23" s="134" t="s">
        <v>187</v>
      </c>
      <c r="D23" s="135" t="s">
        <v>188</v>
      </c>
      <c r="E23" s="135"/>
      <c r="F23" s="134" t="s">
        <v>189</v>
      </c>
      <c r="G23" s="136" t="n">
        <f aca="false">'Stavební rozpočet'!G23</f>
        <v>0.681</v>
      </c>
      <c r="H23" s="137" t="n">
        <f aca="false">'Stavební rozpočet'!H23</f>
        <v>0</v>
      </c>
      <c r="I23" s="137" t="n">
        <f aca="false">ROUND(G23*AO23,2)</f>
        <v>0</v>
      </c>
      <c r="J23" s="137" t="n">
        <f aca="false">ROUND(G23*AP23,2)</f>
        <v>0</v>
      </c>
      <c r="K23" s="137" t="n">
        <f aca="false">ROUND(G23*H23,2)</f>
        <v>0</v>
      </c>
      <c r="L23" s="137" t="n">
        <f aca="false">'Stavební rozpočet'!L23</f>
        <v>2</v>
      </c>
      <c r="M23" s="137" t="n">
        <f aca="false">G23*L23</f>
        <v>1.362</v>
      </c>
      <c r="N23" s="138" t="s">
        <v>155</v>
      </c>
      <c r="Z23" s="88" t="n">
        <f aca="false">ROUND(IF(AQ23="5",BJ23,0),2)</f>
        <v>0</v>
      </c>
      <c r="AB23" s="88" t="n">
        <f aca="false">ROUND(IF(AQ23="1",BH23,0),2)</f>
        <v>0</v>
      </c>
      <c r="AC23" s="88" t="n">
        <f aca="false">ROUND(IF(AQ23="1",BI23,0),2)</f>
        <v>0</v>
      </c>
      <c r="AD23" s="88" t="n">
        <f aca="false">ROUND(IF(AQ23="7",BH23,0),2)</f>
        <v>0</v>
      </c>
      <c r="AE23" s="88" t="n">
        <f aca="false">ROUND(IF(AQ23="7",BI23,0),2)</f>
        <v>0</v>
      </c>
      <c r="AF23" s="88" t="n">
        <f aca="false">ROUND(IF(AQ23="2",BH23,0),2)</f>
        <v>0</v>
      </c>
      <c r="AG23" s="88" t="n">
        <f aca="false">ROUND(IF(AQ23="2",BI23,0),2)</f>
        <v>0</v>
      </c>
      <c r="AH23" s="88" t="n">
        <f aca="false">ROUND(IF(AQ23="0",BJ23,0),2)</f>
        <v>0</v>
      </c>
      <c r="AI23" s="116" t="s">
        <v>104</v>
      </c>
      <c r="AJ23" s="88" t="n">
        <f aca="false">IF(AN23=0,K23,0)</f>
        <v>0</v>
      </c>
      <c r="AK23" s="88" t="n">
        <f aca="false">IF(AN23=12,K23,0)</f>
        <v>0</v>
      </c>
      <c r="AL23" s="88" t="n">
        <f aca="false">IF(AN23=21,K23,0)</f>
        <v>0</v>
      </c>
      <c r="AN23" s="88" t="n">
        <v>21</v>
      </c>
      <c r="AO23" s="88" t="n">
        <f aca="false">H23*0</f>
        <v>0</v>
      </c>
      <c r="AP23" s="88" t="n">
        <f aca="false">H23*(1-0)</f>
        <v>0</v>
      </c>
      <c r="AQ23" s="87" t="s">
        <v>151</v>
      </c>
      <c r="AV23" s="88" t="n">
        <f aca="false">ROUND(AW23+AX23,2)</f>
        <v>0</v>
      </c>
      <c r="AW23" s="88" t="n">
        <f aca="false">ROUND(G23*AO23,2)</f>
        <v>0</v>
      </c>
      <c r="AX23" s="88" t="n">
        <f aca="false">ROUND(G23*AP23,2)</f>
        <v>0</v>
      </c>
      <c r="AY23" s="87" t="s">
        <v>190</v>
      </c>
      <c r="AZ23" s="87" t="s">
        <v>191</v>
      </c>
      <c r="BA23" s="116" t="s">
        <v>158</v>
      </c>
      <c r="BC23" s="88" t="n">
        <f aca="false">AW23+AX23</f>
        <v>0</v>
      </c>
      <c r="BD23" s="88" t="n">
        <f aca="false">H23/(100-BE23)*100</f>
        <v>0</v>
      </c>
      <c r="BE23" s="88" t="n">
        <v>0</v>
      </c>
      <c r="BF23" s="88" t="n">
        <f aca="false">M23</f>
        <v>1.362</v>
      </c>
      <c r="BH23" s="88" t="n">
        <f aca="false">G23*AO23</f>
        <v>0</v>
      </c>
      <c r="BI23" s="88" t="n">
        <f aca="false">G23*AP23</f>
        <v>0</v>
      </c>
      <c r="BJ23" s="88" t="n">
        <f aca="false">G23*H23</f>
        <v>0</v>
      </c>
      <c r="BK23" s="87" t="s">
        <v>159</v>
      </c>
      <c r="BL23" s="88" t="n">
        <v>96</v>
      </c>
      <c r="BW23" s="88" t="n">
        <v>21</v>
      </c>
      <c r="BX23" s="9" t="s">
        <v>188</v>
      </c>
    </row>
    <row r="24" customFormat="false" ht="24.05" hidden="false" customHeight="true" outlineLevel="0" collapsed="false">
      <c r="A24" s="134" t="s">
        <v>192</v>
      </c>
      <c r="B24" s="134" t="s">
        <v>104</v>
      </c>
      <c r="C24" s="134" t="s">
        <v>193</v>
      </c>
      <c r="D24" s="135" t="s">
        <v>194</v>
      </c>
      <c r="E24" s="135"/>
      <c r="F24" s="134" t="s">
        <v>189</v>
      </c>
      <c r="G24" s="136" t="n">
        <f aca="false">'Stavební rozpočet'!G24</f>
        <v>1.024</v>
      </c>
      <c r="H24" s="137" t="n">
        <f aca="false">'Stavební rozpočet'!H24</f>
        <v>0</v>
      </c>
      <c r="I24" s="137" t="n">
        <f aca="false">ROUND(G24*AO24,2)</f>
        <v>0</v>
      </c>
      <c r="J24" s="137" t="n">
        <f aca="false">ROUND(G24*AP24,2)</f>
        <v>0</v>
      </c>
      <c r="K24" s="137" t="n">
        <f aca="false">ROUND(G24*H24,2)</f>
        <v>0</v>
      </c>
      <c r="L24" s="137" t="n">
        <f aca="false">'Stavební rozpočet'!L24</f>
        <v>2</v>
      </c>
      <c r="M24" s="137" t="n">
        <f aca="false">G24*L24</f>
        <v>2.048</v>
      </c>
      <c r="N24" s="138" t="s">
        <v>155</v>
      </c>
      <c r="Z24" s="88" t="n">
        <f aca="false">ROUND(IF(AQ24="5",BJ24,0),2)</f>
        <v>0</v>
      </c>
      <c r="AB24" s="88" t="n">
        <f aca="false">ROUND(IF(AQ24="1",BH24,0),2)</f>
        <v>0</v>
      </c>
      <c r="AC24" s="88" t="n">
        <f aca="false">ROUND(IF(AQ24="1",BI24,0),2)</f>
        <v>0</v>
      </c>
      <c r="AD24" s="88" t="n">
        <f aca="false">ROUND(IF(AQ24="7",BH24,0),2)</f>
        <v>0</v>
      </c>
      <c r="AE24" s="88" t="n">
        <f aca="false">ROUND(IF(AQ24="7",BI24,0),2)</f>
        <v>0</v>
      </c>
      <c r="AF24" s="88" t="n">
        <f aca="false">ROUND(IF(AQ24="2",BH24,0),2)</f>
        <v>0</v>
      </c>
      <c r="AG24" s="88" t="n">
        <f aca="false">ROUND(IF(AQ24="2",BI24,0),2)</f>
        <v>0</v>
      </c>
      <c r="AH24" s="88" t="n">
        <f aca="false">ROUND(IF(AQ24="0",BJ24,0),2)</f>
        <v>0</v>
      </c>
      <c r="AI24" s="116" t="s">
        <v>104</v>
      </c>
      <c r="AJ24" s="88" t="n">
        <f aca="false">IF(AN24=0,K24,0)</f>
        <v>0</v>
      </c>
      <c r="AK24" s="88" t="n">
        <f aca="false">IF(AN24=12,K24,0)</f>
        <v>0</v>
      </c>
      <c r="AL24" s="88" t="n">
        <f aca="false">IF(AN24=21,K24,0)</f>
        <v>0</v>
      </c>
      <c r="AN24" s="88" t="n">
        <v>21</v>
      </c>
      <c r="AO24" s="88" t="n">
        <f aca="false">H24*0</f>
        <v>0</v>
      </c>
      <c r="AP24" s="88" t="n">
        <f aca="false">H24*(1-0)</f>
        <v>0</v>
      </c>
      <c r="AQ24" s="87" t="s">
        <v>151</v>
      </c>
      <c r="AV24" s="88" t="n">
        <f aca="false">ROUND(AW24+AX24,2)</f>
        <v>0</v>
      </c>
      <c r="AW24" s="88" t="n">
        <f aca="false">ROUND(G24*AO24,2)</f>
        <v>0</v>
      </c>
      <c r="AX24" s="88" t="n">
        <f aca="false">ROUND(G24*AP24,2)</f>
        <v>0</v>
      </c>
      <c r="AY24" s="87" t="s">
        <v>190</v>
      </c>
      <c r="AZ24" s="87" t="s">
        <v>191</v>
      </c>
      <c r="BA24" s="116" t="s">
        <v>158</v>
      </c>
      <c r="BC24" s="88" t="n">
        <f aca="false">AW24+AX24</f>
        <v>0</v>
      </c>
      <c r="BD24" s="88" t="n">
        <f aca="false">H24/(100-BE24)*100</f>
        <v>0</v>
      </c>
      <c r="BE24" s="88" t="n">
        <v>0</v>
      </c>
      <c r="BF24" s="88" t="n">
        <f aca="false">M24</f>
        <v>2.048</v>
      </c>
      <c r="BH24" s="88" t="n">
        <f aca="false">G24*AO24</f>
        <v>0</v>
      </c>
      <c r="BI24" s="88" t="n">
        <f aca="false">G24*AP24</f>
        <v>0</v>
      </c>
      <c r="BJ24" s="88" t="n">
        <f aca="false">G24*H24</f>
        <v>0</v>
      </c>
      <c r="BK24" s="87" t="s">
        <v>159</v>
      </c>
      <c r="BL24" s="88" t="n">
        <v>96</v>
      </c>
      <c r="BW24" s="88" t="n">
        <v>21</v>
      </c>
      <c r="BX24" s="9" t="s">
        <v>194</v>
      </c>
    </row>
    <row r="25" customFormat="false" ht="24.05" hidden="false" customHeight="true" outlineLevel="0" collapsed="false">
      <c r="A25" s="134" t="s">
        <v>149</v>
      </c>
      <c r="B25" s="134" t="s">
        <v>104</v>
      </c>
      <c r="C25" s="134" t="s">
        <v>195</v>
      </c>
      <c r="D25" s="135" t="s">
        <v>196</v>
      </c>
      <c r="E25" s="135"/>
      <c r="F25" s="134" t="s">
        <v>189</v>
      </c>
      <c r="G25" s="136" t="n">
        <f aca="false">'Stavební rozpočet'!G25</f>
        <v>0.51</v>
      </c>
      <c r="H25" s="137" t="n">
        <f aca="false">'Stavební rozpočet'!H25</f>
        <v>0</v>
      </c>
      <c r="I25" s="137" t="n">
        <f aca="false">ROUND(G25*AO25,2)</f>
        <v>0</v>
      </c>
      <c r="J25" s="137" t="n">
        <f aca="false">ROUND(G25*AP25,2)</f>
        <v>0</v>
      </c>
      <c r="K25" s="137" t="n">
        <f aca="false">ROUND(G25*H25,2)</f>
        <v>0</v>
      </c>
      <c r="L25" s="137" t="n">
        <f aca="false">'Stavební rozpočet'!L25</f>
        <v>2.00128</v>
      </c>
      <c r="M25" s="137" t="n">
        <f aca="false">G25*L25</f>
        <v>1.0206528</v>
      </c>
      <c r="N25" s="138" t="s">
        <v>155</v>
      </c>
      <c r="Z25" s="88" t="n">
        <f aca="false">ROUND(IF(AQ25="5",BJ25,0),2)</f>
        <v>0</v>
      </c>
      <c r="AB25" s="88" t="n">
        <f aca="false">ROUND(IF(AQ25="1",BH25,0),2)</f>
        <v>0</v>
      </c>
      <c r="AC25" s="88" t="n">
        <f aca="false">ROUND(IF(AQ25="1",BI25,0),2)</f>
        <v>0</v>
      </c>
      <c r="AD25" s="88" t="n">
        <f aca="false">ROUND(IF(AQ25="7",BH25,0),2)</f>
        <v>0</v>
      </c>
      <c r="AE25" s="88" t="n">
        <f aca="false">ROUND(IF(AQ25="7",BI25,0),2)</f>
        <v>0</v>
      </c>
      <c r="AF25" s="88" t="n">
        <f aca="false">ROUND(IF(AQ25="2",BH25,0),2)</f>
        <v>0</v>
      </c>
      <c r="AG25" s="88" t="n">
        <f aca="false">ROUND(IF(AQ25="2",BI25,0),2)</f>
        <v>0</v>
      </c>
      <c r="AH25" s="88" t="n">
        <f aca="false">ROUND(IF(AQ25="0",BJ25,0),2)</f>
        <v>0</v>
      </c>
      <c r="AI25" s="116" t="s">
        <v>104</v>
      </c>
      <c r="AJ25" s="88" t="n">
        <f aca="false">IF(AN25=0,K25,0)</f>
        <v>0</v>
      </c>
      <c r="AK25" s="88" t="n">
        <f aca="false">IF(AN25=12,K25,0)</f>
        <v>0</v>
      </c>
      <c r="AL25" s="88" t="n">
        <f aca="false">IF(AN25=21,K25,0)</f>
        <v>0</v>
      </c>
      <c r="AN25" s="88" t="n">
        <v>21</v>
      </c>
      <c r="AO25" s="88" t="n">
        <f aca="false">H25*0.027162504</f>
        <v>0</v>
      </c>
      <c r="AP25" s="88" t="n">
        <f aca="false">H25*(1-0.027162504)</f>
        <v>0</v>
      </c>
      <c r="AQ25" s="87" t="s">
        <v>151</v>
      </c>
      <c r="AV25" s="88" t="n">
        <f aca="false">ROUND(AW25+AX25,2)</f>
        <v>0</v>
      </c>
      <c r="AW25" s="88" t="n">
        <f aca="false">ROUND(G25*AO25,2)</f>
        <v>0</v>
      </c>
      <c r="AX25" s="88" t="n">
        <f aca="false">ROUND(G25*AP25,2)</f>
        <v>0</v>
      </c>
      <c r="AY25" s="87" t="s">
        <v>190</v>
      </c>
      <c r="AZ25" s="87" t="s">
        <v>191</v>
      </c>
      <c r="BA25" s="116" t="s">
        <v>158</v>
      </c>
      <c r="BC25" s="88" t="n">
        <f aca="false">AW25+AX25</f>
        <v>0</v>
      </c>
      <c r="BD25" s="88" t="n">
        <f aca="false">H25/(100-BE25)*100</f>
        <v>0</v>
      </c>
      <c r="BE25" s="88" t="n">
        <v>0</v>
      </c>
      <c r="BF25" s="88" t="n">
        <f aca="false">M25</f>
        <v>1.0206528</v>
      </c>
      <c r="BH25" s="88" t="n">
        <f aca="false">G25*AO25</f>
        <v>0</v>
      </c>
      <c r="BI25" s="88" t="n">
        <f aca="false">G25*AP25</f>
        <v>0</v>
      </c>
      <c r="BJ25" s="88" t="n">
        <f aca="false">G25*H25</f>
        <v>0</v>
      </c>
      <c r="BK25" s="87" t="s">
        <v>159</v>
      </c>
      <c r="BL25" s="88" t="n">
        <v>96</v>
      </c>
      <c r="BW25" s="88" t="n">
        <v>21</v>
      </c>
      <c r="BX25" s="9" t="s">
        <v>196</v>
      </c>
    </row>
    <row r="26" customFormat="false" ht="15" hidden="false" customHeight="true" outlineLevel="0" collapsed="false">
      <c r="A26" s="128"/>
      <c r="B26" s="129" t="s">
        <v>104</v>
      </c>
      <c r="C26" s="129" t="s">
        <v>197</v>
      </c>
      <c r="D26" s="130" t="s">
        <v>198</v>
      </c>
      <c r="E26" s="130"/>
      <c r="F26" s="128" t="s">
        <v>97</v>
      </c>
      <c r="G26" s="131" t="s">
        <v>97</v>
      </c>
      <c r="H26" s="128" t="s">
        <v>97</v>
      </c>
      <c r="I26" s="132" t="n">
        <f aca="false">ROUND(SUM(I27),2)</f>
        <v>0</v>
      </c>
      <c r="J26" s="132" t="n">
        <f aca="false">ROUND(SUM(J27),2)</f>
        <v>0</v>
      </c>
      <c r="K26" s="132" t="n">
        <f aca="false">ROUND(SUM(K27),2)</f>
        <v>0</v>
      </c>
      <c r="L26" s="133"/>
      <c r="M26" s="132" t="n">
        <f aca="false">SUM(M27)</f>
        <v>0.2103</v>
      </c>
      <c r="N26" s="133"/>
      <c r="AI26" s="116" t="s">
        <v>104</v>
      </c>
      <c r="AS26" s="107" t="n">
        <f aca="false">SUM(AJ27)</f>
        <v>0</v>
      </c>
      <c r="AT26" s="107" t="n">
        <f aca="false">SUM(AK27)</f>
        <v>0</v>
      </c>
      <c r="AU26" s="107" t="n">
        <f aca="false">SUM(AL27)</f>
        <v>0</v>
      </c>
    </row>
    <row r="27" customFormat="false" ht="23.85" hidden="false" customHeight="true" outlineLevel="0" collapsed="false">
      <c r="A27" s="134" t="s">
        <v>199</v>
      </c>
      <c r="B27" s="134" t="s">
        <v>104</v>
      </c>
      <c r="C27" s="134" t="s">
        <v>200</v>
      </c>
      <c r="D27" s="135" t="s">
        <v>201</v>
      </c>
      <c r="E27" s="135"/>
      <c r="F27" s="134" t="s">
        <v>202</v>
      </c>
      <c r="G27" s="136" t="n">
        <f aca="false">'Stavební rozpočet'!G27</f>
        <v>210.3</v>
      </c>
      <c r="H27" s="137" t="n">
        <f aca="false">'Stavební rozpočet'!H27</f>
        <v>0</v>
      </c>
      <c r="I27" s="137" t="n">
        <f aca="false">ROUND(G27*AO27,2)</f>
        <v>0</v>
      </c>
      <c r="J27" s="137" t="n">
        <f aca="false">ROUND(G27*AP27,2)</f>
        <v>0</v>
      </c>
      <c r="K27" s="137" t="n">
        <f aca="false">ROUND(G27*H27,2)</f>
        <v>0</v>
      </c>
      <c r="L27" s="137" t="n">
        <f aca="false">'Stavební rozpočet'!L27</f>
        <v>0.001</v>
      </c>
      <c r="M27" s="137" t="n">
        <f aca="false">G27*L27</f>
        <v>0.2103</v>
      </c>
      <c r="N27" s="138" t="s">
        <v>155</v>
      </c>
      <c r="Z27" s="88" t="n">
        <f aca="false">ROUND(IF(AQ27="5",BJ27,0),2)</f>
        <v>0</v>
      </c>
      <c r="AB27" s="88" t="n">
        <f aca="false">ROUND(IF(AQ27="1",BH27,0),2)</f>
        <v>0</v>
      </c>
      <c r="AC27" s="88" t="n">
        <f aca="false">ROUND(IF(AQ27="1",BI27,0),2)</f>
        <v>0</v>
      </c>
      <c r="AD27" s="88" t="n">
        <f aca="false">ROUND(IF(AQ27="7",BH27,0),2)</f>
        <v>0</v>
      </c>
      <c r="AE27" s="88" t="n">
        <f aca="false">ROUND(IF(AQ27="7",BI27,0),2)</f>
        <v>0</v>
      </c>
      <c r="AF27" s="88" t="n">
        <f aca="false">ROUND(IF(AQ27="2",BH27,0),2)</f>
        <v>0</v>
      </c>
      <c r="AG27" s="88" t="n">
        <f aca="false">ROUND(IF(AQ27="2",BI27,0),2)</f>
        <v>0</v>
      </c>
      <c r="AH27" s="88" t="n">
        <f aca="false">ROUND(IF(AQ27="0",BJ27,0),2)</f>
        <v>0</v>
      </c>
      <c r="AI27" s="116" t="s">
        <v>104</v>
      </c>
      <c r="AJ27" s="88" t="n">
        <f aca="false">IF(AN27=0,K27,0)</f>
        <v>0</v>
      </c>
      <c r="AK27" s="88" t="n">
        <f aca="false">IF(AN27=12,K27,0)</f>
        <v>0</v>
      </c>
      <c r="AL27" s="88" t="n">
        <f aca="false">IF(AN27=21,K27,0)</f>
        <v>0</v>
      </c>
      <c r="AN27" s="88" t="n">
        <v>21</v>
      </c>
      <c r="AO27" s="88" t="n">
        <f aca="false">H27*0</f>
        <v>0</v>
      </c>
      <c r="AP27" s="88" t="n">
        <f aca="false">H27*(1-0)</f>
        <v>0</v>
      </c>
      <c r="AQ27" s="87" t="s">
        <v>151</v>
      </c>
      <c r="AV27" s="88" t="n">
        <f aca="false">ROUND(AW27+AX27,2)</f>
        <v>0</v>
      </c>
      <c r="AW27" s="88" t="n">
        <f aca="false">ROUND(G27*AO27,2)</f>
        <v>0</v>
      </c>
      <c r="AX27" s="88" t="n">
        <f aca="false">ROUND(G27*AP27,2)</f>
        <v>0</v>
      </c>
      <c r="AY27" s="87" t="s">
        <v>203</v>
      </c>
      <c r="AZ27" s="87" t="s">
        <v>191</v>
      </c>
      <c r="BA27" s="116" t="s">
        <v>158</v>
      </c>
      <c r="BC27" s="88" t="n">
        <f aca="false">AW27+AX27</f>
        <v>0</v>
      </c>
      <c r="BD27" s="88" t="n">
        <f aca="false">H27/(100-BE27)*100</f>
        <v>0</v>
      </c>
      <c r="BE27" s="88" t="n">
        <v>0</v>
      </c>
      <c r="BF27" s="88" t="n">
        <f aca="false">M27</f>
        <v>0.2103</v>
      </c>
      <c r="BH27" s="88" t="n">
        <f aca="false">G27*AO27</f>
        <v>0</v>
      </c>
      <c r="BI27" s="88" t="n">
        <f aca="false">G27*AP27</f>
        <v>0</v>
      </c>
      <c r="BJ27" s="88" t="n">
        <f aca="false">G27*H27</f>
        <v>0</v>
      </c>
      <c r="BK27" s="87" t="s">
        <v>159</v>
      </c>
      <c r="BL27" s="88" t="n">
        <v>97</v>
      </c>
      <c r="BW27" s="88" t="n">
        <v>21</v>
      </c>
      <c r="BX27" s="9" t="s">
        <v>201</v>
      </c>
    </row>
    <row r="28" customFormat="false" ht="15" hidden="false" customHeight="true" outlineLevel="0" collapsed="false">
      <c r="A28" s="128"/>
      <c r="B28" s="129" t="s">
        <v>104</v>
      </c>
      <c r="C28" s="129" t="s">
        <v>204</v>
      </c>
      <c r="D28" s="130" t="s">
        <v>205</v>
      </c>
      <c r="E28" s="130"/>
      <c r="F28" s="128" t="s">
        <v>97</v>
      </c>
      <c r="G28" s="131" t="s">
        <v>97</v>
      </c>
      <c r="H28" s="128" t="s">
        <v>97</v>
      </c>
      <c r="I28" s="132" t="n">
        <f aca="false">ROUND(SUM(I29:I37),2)</f>
        <v>0</v>
      </c>
      <c r="J28" s="132" t="n">
        <f aca="false">ROUND(SUM(J29:J37),2)</f>
        <v>0</v>
      </c>
      <c r="K28" s="132" t="n">
        <f aca="false">ROUND(SUM(K29:K37),2)</f>
        <v>0</v>
      </c>
      <c r="L28" s="133"/>
      <c r="M28" s="132" t="n">
        <f aca="false">SUM(M29:M37)</f>
        <v>0</v>
      </c>
      <c r="N28" s="133"/>
      <c r="AI28" s="116" t="s">
        <v>104</v>
      </c>
      <c r="AS28" s="107" t="n">
        <f aca="false">SUM(AJ29:AJ37)</f>
        <v>0</v>
      </c>
      <c r="AT28" s="107" t="n">
        <f aca="false">SUM(AK29:AK37)</f>
        <v>0</v>
      </c>
      <c r="AU28" s="107" t="n">
        <f aca="false">SUM(AL29:AL37)</f>
        <v>0</v>
      </c>
    </row>
    <row r="29" customFormat="false" ht="15" hidden="false" customHeight="true" outlineLevel="0" collapsed="false">
      <c r="A29" s="134" t="s">
        <v>206</v>
      </c>
      <c r="B29" s="134" t="s">
        <v>104</v>
      </c>
      <c r="C29" s="134" t="s">
        <v>207</v>
      </c>
      <c r="D29" s="135" t="s">
        <v>208</v>
      </c>
      <c r="E29" s="135"/>
      <c r="F29" s="134" t="s">
        <v>179</v>
      </c>
      <c r="G29" s="136" t="n">
        <f aca="false">'Stavební rozpočet'!G29</f>
        <v>8.89</v>
      </c>
      <c r="H29" s="137" t="n">
        <f aca="false">'Stavební rozpočet'!H29</f>
        <v>0</v>
      </c>
      <c r="I29" s="137" t="n">
        <f aca="false">ROUND(G29*AO29,2)</f>
        <v>0</v>
      </c>
      <c r="J29" s="137" t="n">
        <f aca="false">ROUND(G29*AP29,2)</f>
        <v>0</v>
      </c>
      <c r="K29" s="137" t="n">
        <f aca="false">ROUND(G29*H29,2)</f>
        <v>0</v>
      </c>
      <c r="L29" s="137" t="n">
        <f aca="false">'Stavební rozpočet'!L29</f>
        <v>0</v>
      </c>
      <c r="M29" s="137" t="n">
        <f aca="false">G29*L29</f>
        <v>0</v>
      </c>
      <c r="N29" s="138" t="s">
        <v>155</v>
      </c>
      <c r="Z29" s="88" t="n">
        <f aca="false">ROUND(IF(AQ29="5",BJ29,0),2)</f>
        <v>0</v>
      </c>
      <c r="AB29" s="88" t="n">
        <f aca="false">ROUND(IF(AQ29="1",BH29,0),2)</f>
        <v>0</v>
      </c>
      <c r="AC29" s="88" t="n">
        <f aca="false">ROUND(IF(AQ29="1",BI29,0),2)</f>
        <v>0</v>
      </c>
      <c r="AD29" s="88" t="n">
        <f aca="false">ROUND(IF(AQ29="7",BH29,0),2)</f>
        <v>0</v>
      </c>
      <c r="AE29" s="88" t="n">
        <f aca="false">ROUND(IF(AQ29="7",BI29,0),2)</f>
        <v>0</v>
      </c>
      <c r="AF29" s="88" t="n">
        <f aca="false">ROUND(IF(AQ29="2",BH29,0),2)</f>
        <v>0</v>
      </c>
      <c r="AG29" s="88" t="n">
        <f aca="false">ROUND(IF(AQ29="2",BI29,0),2)</f>
        <v>0</v>
      </c>
      <c r="AH29" s="88" t="n">
        <f aca="false">ROUND(IF(AQ29="0",BJ29,0),2)</f>
        <v>0</v>
      </c>
      <c r="AI29" s="116" t="s">
        <v>104</v>
      </c>
      <c r="AJ29" s="88" t="n">
        <f aca="false">IF(AN29=0,K29,0)</f>
        <v>0</v>
      </c>
      <c r="AK29" s="88" t="n">
        <f aca="false">IF(AN29=12,K29,0)</f>
        <v>0</v>
      </c>
      <c r="AL29" s="88" t="n">
        <f aca="false">IF(AN29=21,K29,0)</f>
        <v>0</v>
      </c>
      <c r="AN29" s="88" t="n">
        <v>21</v>
      </c>
      <c r="AO29" s="88" t="n">
        <f aca="false">H29*0</f>
        <v>0</v>
      </c>
      <c r="AP29" s="88" t="n">
        <f aca="false">H29*(1-0)</f>
        <v>0</v>
      </c>
      <c r="AQ29" s="87" t="s">
        <v>170</v>
      </c>
      <c r="AV29" s="88" t="n">
        <f aca="false">ROUND(AW29+AX29,2)</f>
        <v>0</v>
      </c>
      <c r="AW29" s="88" t="n">
        <f aca="false">ROUND(G29*AO29,2)</f>
        <v>0</v>
      </c>
      <c r="AX29" s="88" t="n">
        <f aca="false">ROUND(G29*AP29,2)</f>
        <v>0</v>
      </c>
      <c r="AY29" s="87" t="s">
        <v>209</v>
      </c>
      <c r="AZ29" s="87" t="s">
        <v>191</v>
      </c>
      <c r="BA29" s="116" t="s">
        <v>158</v>
      </c>
      <c r="BC29" s="88" t="n">
        <f aca="false">AW29+AX29</f>
        <v>0</v>
      </c>
      <c r="BD29" s="88" t="n">
        <f aca="false">H29/(100-BE29)*100</f>
        <v>0</v>
      </c>
      <c r="BE29" s="88" t="n">
        <v>0</v>
      </c>
      <c r="BF29" s="88" t="n">
        <f aca="false">M29</f>
        <v>0</v>
      </c>
      <c r="BH29" s="88" t="n">
        <f aca="false">G29*AO29</f>
        <v>0</v>
      </c>
      <c r="BI29" s="88" t="n">
        <f aca="false">G29*AP29</f>
        <v>0</v>
      </c>
      <c r="BJ29" s="88" t="n">
        <f aca="false">G29*H29</f>
        <v>0</v>
      </c>
      <c r="BK29" s="87" t="s">
        <v>159</v>
      </c>
      <c r="BL29" s="88"/>
      <c r="BW29" s="88" t="n">
        <v>21</v>
      </c>
      <c r="BX29" s="9" t="s">
        <v>208</v>
      </c>
    </row>
    <row r="30" customFormat="false" ht="15" hidden="false" customHeight="true" outlineLevel="0" collapsed="false">
      <c r="A30" s="134" t="s">
        <v>210</v>
      </c>
      <c r="B30" s="134" t="s">
        <v>104</v>
      </c>
      <c r="C30" s="134" t="s">
        <v>211</v>
      </c>
      <c r="D30" s="135" t="s">
        <v>212</v>
      </c>
      <c r="E30" s="135"/>
      <c r="F30" s="134" t="s">
        <v>179</v>
      </c>
      <c r="G30" s="136" t="n">
        <f aca="false">'Stavební rozpočet'!G30</f>
        <v>17.78</v>
      </c>
      <c r="H30" s="137" t="n">
        <f aca="false">'Stavební rozpočet'!H30</f>
        <v>0</v>
      </c>
      <c r="I30" s="137" t="n">
        <f aca="false">ROUND(G30*AO30,2)</f>
        <v>0</v>
      </c>
      <c r="J30" s="137" t="n">
        <f aca="false">ROUND(G30*AP30,2)</f>
        <v>0</v>
      </c>
      <c r="K30" s="137" t="n">
        <f aca="false">ROUND(G30*H30,2)</f>
        <v>0</v>
      </c>
      <c r="L30" s="137" t="n">
        <f aca="false">'Stavební rozpočet'!L30</f>
        <v>0</v>
      </c>
      <c r="M30" s="137" t="n">
        <f aca="false">G30*L30</f>
        <v>0</v>
      </c>
      <c r="N30" s="138" t="s">
        <v>155</v>
      </c>
      <c r="Z30" s="88" t="n">
        <f aca="false">ROUND(IF(AQ30="5",BJ30,0),2)</f>
        <v>0</v>
      </c>
      <c r="AB30" s="88" t="n">
        <f aca="false">ROUND(IF(AQ30="1",BH30,0),2)</f>
        <v>0</v>
      </c>
      <c r="AC30" s="88" t="n">
        <f aca="false">ROUND(IF(AQ30="1",BI30,0),2)</f>
        <v>0</v>
      </c>
      <c r="AD30" s="88" t="n">
        <f aca="false">ROUND(IF(AQ30="7",BH30,0),2)</f>
        <v>0</v>
      </c>
      <c r="AE30" s="88" t="n">
        <f aca="false">ROUND(IF(AQ30="7",BI30,0),2)</f>
        <v>0</v>
      </c>
      <c r="AF30" s="88" t="n">
        <f aca="false">ROUND(IF(AQ30="2",BH30,0),2)</f>
        <v>0</v>
      </c>
      <c r="AG30" s="88" t="n">
        <f aca="false">ROUND(IF(AQ30="2",BI30,0),2)</f>
        <v>0</v>
      </c>
      <c r="AH30" s="88" t="n">
        <f aca="false">ROUND(IF(AQ30="0",BJ30,0),2)</f>
        <v>0</v>
      </c>
      <c r="AI30" s="116" t="s">
        <v>104</v>
      </c>
      <c r="AJ30" s="88" t="n">
        <f aca="false">IF(AN30=0,K30,0)</f>
        <v>0</v>
      </c>
      <c r="AK30" s="88" t="n">
        <f aca="false">IF(AN30=12,K30,0)</f>
        <v>0</v>
      </c>
      <c r="AL30" s="88" t="n">
        <f aca="false">IF(AN30=21,K30,0)</f>
        <v>0</v>
      </c>
      <c r="AN30" s="88" t="n">
        <v>21</v>
      </c>
      <c r="AO30" s="88" t="n">
        <f aca="false">H30*0</f>
        <v>0</v>
      </c>
      <c r="AP30" s="88" t="n">
        <f aca="false">H30*(1-0)</f>
        <v>0</v>
      </c>
      <c r="AQ30" s="87" t="s">
        <v>170</v>
      </c>
      <c r="AV30" s="88" t="n">
        <f aca="false">ROUND(AW30+AX30,2)</f>
        <v>0</v>
      </c>
      <c r="AW30" s="88" t="n">
        <f aca="false">ROUND(G30*AO30,2)</f>
        <v>0</v>
      </c>
      <c r="AX30" s="88" t="n">
        <f aca="false">ROUND(G30*AP30,2)</f>
        <v>0</v>
      </c>
      <c r="AY30" s="87" t="s">
        <v>209</v>
      </c>
      <c r="AZ30" s="87" t="s">
        <v>191</v>
      </c>
      <c r="BA30" s="116" t="s">
        <v>158</v>
      </c>
      <c r="BC30" s="88" t="n">
        <f aca="false">AW30+AX30</f>
        <v>0</v>
      </c>
      <c r="BD30" s="88" t="n">
        <f aca="false">H30/(100-BE30)*100</f>
        <v>0</v>
      </c>
      <c r="BE30" s="88" t="n">
        <v>0</v>
      </c>
      <c r="BF30" s="88" t="n">
        <f aca="false">M30</f>
        <v>0</v>
      </c>
      <c r="BH30" s="88" t="n">
        <f aca="false">G30*AO30</f>
        <v>0</v>
      </c>
      <c r="BI30" s="88" t="n">
        <f aca="false">G30*AP30</f>
        <v>0</v>
      </c>
      <c r="BJ30" s="88" t="n">
        <f aca="false">G30*H30</f>
        <v>0</v>
      </c>
      <c r="BK30" s="87" t="s">
        <v>159</v>
      </c>
      <c r="BL30" s="88"/>
      <c r="BW30" s="88" t="n">
        <v>21</v>
      </c>
      <c r="BX30" s="9" t="s">
        <v>212</v>
      </c>
    </row>
    <row r="31" customFormat="false" ht="15" hidden="false" customHeight="true" outlineLevel="0" collapsed="false">
      <c r="A31" s="134" t="s">
        <v>213</v>
      </c>
      <c r="B31" s="134" t="s">
        <v>104</v>
      </c>
      <c r="C31" s="134" t="s">
        <v>214</v>
      </c>
      <c r="D31" s="135" t="s">
        <v>215</v>
      </c>
      <c r="E31" s="135"/>
      <c r="F31" s="134" t="s">
        <v>179</v>
      </c>
      <c r="G31" s="136" t="n">
        <f aca="false">'Stavební rozpočet'!G31</f>
        <v>10.331</v>
      </c>
      <c r="H31" s="137" t="n">
        <f aca="false">'Stavební rozpočet'!H31</f>
        <v>0</v>
      </c>
      <c r="I31" s="137" t="n">
        <f aca="false">ROUND(G31*AO31,2)</f>
        <v>0</v>
      </c>
      <c r="J31" s="137" t="n">
        <f aca="false">ROUND(G31*AP31,2)</f>
        <v>0</v>
      </c>
      <c r="K31" s="137" t="n">
        <f aca="false">ROUND(G31*H31,2)</f>
        <v>0</v>
      </c>
      <c r="L31" s="137" t="n">
        <f aca="false">'Stavební rozpočet'!L31</f>
        <v>0</v>
      </c>
      <c r="M31" s="137" t="n">
        <f aca="false">G31*L31</f>
        <v>0</v>
      </c>
      <c r="N31" s="138" t="s">
        <v>155</v>
      </c>
      <c r="Z31" s="88" t="n">
        <f aca="false">ROUND(IF(AQ31="5",BJ31,0),2)</f>
        <v>0</v>
      </c>
      <c r="AB31" s="88" t="n">
        <f aca="false">ROUND(IF(AQ31="1",BH31,0),2)</f>
        <v>0</v>
      </c>
      <c r="AC31" s="88" t="n">
        <f aca="false">ROUND(IF(AQ31="1",BI31,0),2)</f>
        <v>0</v>
      </c>
      <c r="AD31" s="88" t="n">
        <f aca="false">ROUND(IF(AQ31="7",BH31,0),2)</f>
        <v>0</v>
      </c>
      <c r="AE31" s="88" t="n">
        <f aca="false">ROUND(IF(AQ31="7",BI31,0),2)</f>
        <v>0</v>
      </c>
      <c r="AF31" s="88" t="n">
        <f aca="false">ROUND(IF(AQ31="2",BH31,0),2)</f>
        <v>0</v>
      </c>
      <c r="AG31" s="88" t="n">
        <f aca="false">ROUND(IF(AQ31="2",BI31,0),2)</f>
        <v>0</v>
      </c>
      <c r="AH31" s="88" t="n">
        <f aca="false">ROUND(IF(AQ31="0",BJ31,0),2)</f>
        <v>0</v>
      </c>
      <c r="AI31" s="116" t="s">
        <v>104</v>
      </c>
      <c r="AJ31" s="88" t="n">
        <f aca="false">IF(AN31=0,K31,0)</f>
        <v>0</v>
      </c>
      <c r="AK31" s="88" t="n">
        <f aca="false">IF(AN31=12,K31,0)</f>
        <v>0</v>
      </c>
      <c r="AL31" s="88" t="n">
        <f aca="false">IF(AN31=21,K31,0)</f>
        <v>0</v>
      </c>
      <c r="AN31" s="88" t="n">
        <v>21</v>
      </c>
      <c r="AO31" s="88" t="n">
        <f aca="false">H31*0</f>
        <v>0</v>
      </c>
      <c r="AP31" s="88" t="n">
        <f aca="false">H31*(1-0)</f>
        <v>0</v>
      </c>
      <c r="AQ31" s="87" t="s">
        <v>170</v>
      </c>
      <c r="AV31" s="88" t="n">
        <f aca="false">ROUND(AW31+AX31,2)</f>
        <v>0</v>
      </c>
      <c r="AW31" s="88" t="n">
        <f aca="false">ROUND(G31*AO31,2)</f>
        <v>0</v>
      </c>
      <c r="AX31" s="88" t="n">
        <f aca="false">ROUND(G31*AP31,2)</f>
        <v>0</v>
      </c>
      <c r="AY31" s="87" t="s">
        <v>209</v>
      </c>
      <c r="AZ31" s="87" t="s">
        <v>191</v>
      </c>
      <c r="BA31" s="116" t="s">
        <v>158</v>
      </c>
      <c r="BC31" s="88" t="n">
        <f aca="false">AW31+AX31</f>
        <v>0</v>
      </c>
      <c r="BD31" s="88" t="n">
        <f aca="false">H31/(100-BE31)*100</f>
        <v>0</v>
      </c>
      <c r="BE31" s="88" t="n">
        <v>0</v>
      </c>
      <c r="BF31" s="88" t="n">
        <f aca="false">M31</f>
        <v>0</v>
      </c>
      <c r="BH31" s="88" t="n">
        <f aca="false">G31*AO31</f>
        <v>0</v>
      </c>
      <c r="BI31" s="88" t="n">
        <f aca="false">G31*AP31</f>
        <v>0</v>
      </c>
      <c r="BJ31" s="88" t="n">
        <f aca="false">G31*H31</f>
        <v>0</v>
      </c>
      <c r="BK31" s="87" t="s">
        <v>159</v>
      </c>
      <c r="BL31" s="88"/>
      <c r="BW31" s="88" t="n">
        <v>21</v>
      </c>
      <c r="BX31" s="9" t="s">
        <v>215</v>
      </c>
    </row>
    <row r="32" customFormat="false" ht="15" hidden="false" customHeight="true" outlineLevel="0" collapsed="false">
      <c r="A32" s="134" t="s">
        <v>216</v>
      </c>
      <c r="B32" s="134" t="s">
        <v>104</v>
      </c>
      <c r="C32" s="134" t="s">
        <v>217</v>
      </c>
      <c r="D32" s="135" t="s">
        <v>218</v>
      </c>
      <c r="E32" s="135"/>
      <c r="F32" s="134" t="s">
        <v>179</v>
      </c>
      <c r="G32" s="136" t="n">
        <f aca="false">'Stavební rozpočet'!G32</f>
        <v>10.331</v>
      </c>
      <c r="H32" s="137" t="n">
        <f aca="false">'Stavební rozpočet'!H32</f>
        <v>0</v>
      </c>
      <c r="I32" s="137" t="n">
        <f aca="false">ROUND(G32*AO32,2)</f>
        <v>0</v>
      </c>
      <c r="J32" s="137" t="n">
        <f aca="false">ROUND(G32*AP32,2)</f>
        <v>0</v>
      </c>
      <c r="K32" s="137" t="n">
        <f aca="false">ROUND(G32*H32,2)</f>
        <v>0</v>
      </c>
      <c r="L32" s="137" t="n">
        <f aca="false">'Stavební rozpočet'!L32</f>
        <v>0</v>
      </c>
      <c r="M32" s="137" t="n">
        <f aca="false">G32*L32</f>
        <v>0</v>
      </c>
      <c r="N32" s="138" t="s">
        <v>155</v>
      </c>
      <c r="Z32" s="88" t="n">
        <f aca="false">ROUND(IF(AQ32="5",BJ32,0),2)</f>
        <v>0</v>
      </c>
      <c r="AB32" s="88" t="n">
        <f aca="false">ROUND(IF(AQ32="1",BH32,0),2)</f>
        <v>0</v>
      </c>
      <c r="AC32" s="88" t="n">
        <f aca="false">ROUND(IF(AQ32="1",BI32,0),2)</f>
        <v>0</v>
      </c>
      <c r="AD32" s="88" t="n">
        <f aca="false">ROUND(IF(AQ32="7",BH32,0),2)</f>
        <v>0</v>
      </c>
      <c r="AE32" s="88" t="n">
        <f aca="false">ROUND(IF(AQ32="7",BI32,0),2)</f>
        <v>0</v>
      </c>
      <c r="AF32" s="88" t="n">
        <f aca="false">ROUND(IF(AQ32="2",BH32,0),2)</f>
        <v>0</v>
      </c>
      <c r="AG32" s="88" t="n">
        <f aca="false">ROUND(IF(AQ32="2",BI32,0),2)</f>
        <v>0</v>
      </c>
      <c r="AH32" s="88" t="n">
        <f aca="false">ROUND(IF(AQ32="0",BJ32,0),2)</f>
        <v>0</v>
      </c>
      <c r="AI32" s="116" t="s">
        <v>104</v>
      </c>
      <c r="AJ32" s="88" t="n">
        <f aca="false">IF(AN32=0,K32,0)</f>
        <v>0</v>
      </c>
      <c r="AK32" s="88" t="n">
        <f aca="false">IF(AN32=12,K32,0)</f>
        <v>0</v>
      </c>
      <c r="AL32" s="88" t="n">
        <f aca="false">IF(AN32=21,K32,0)</f>
        <v>0</v>
      </c>
      <c r="AN32" s="88" t="n">
        <v>21</v>
      </c>
      <c r="AO32" s="88" t="n">
        <f aca="false">H32*0</f>
        <v>0</v>
      </c>
      <c r="AP32" s="88" t="n">
        <f aca="false">H32*(1-0)</f>
        <v>0</v>
      </c>
      <c r="AQ32" s="87" t="s">
        <v>170</v>
      </c>
      <c r="AV32" s="88" t="n">
        <f aca="false">ROUND(AW32+AX32,2)</f>
        <v>0</v>
      </c>
      <c r="AW32" s="88" t="n">
        <f aca="false">ROUND(G32*AO32,2)</f>
        <v>0</v>
      </c>
      <c r="AX32" s="88" t="n">
        <f aca="false">ROUND(G32*AP32,2)</f>
        <v>0</v>
      </c>
      <c r="AY32" s="87" t="s">
        <v>209</v>
      </c>
      <c r="AZ32" s="87" t="s">
        <v>191</v>
      </c>
      <c r="BA32" s="116" t="s">
        <v>158</v>
      </c>
      <c r="BC32" s="88" t="n">
        <f aca="false">AW32+AX32</f>
        <v>0</v>
      </c>
      <c r="BD32" s="88" t="n">
        <f aca="false">H32/(100-BE32)*100</f>
        <v>0</v>
      </c>
      <c r="BE32" s="88" t="n">
        <v>0</v>
      </c>
      <c r="BF32" s="88" t="n">
        <f aca="false">M32</f>
        <v>0</v>
      </c>
      <c r="BH32" s="88" t="n">
        <f aca="false">G32*AO32</f>
        <v>0</v>
      </c>
      <c r="BI32" s="88" t="n">
        <f aca="false">G32*AP32</f>
        <v>0</v>
      </c>
      <c r="BJ32" s="88" t="n">
        <f aca="false">G32*H32</f>
        <v>0</v>
      </c>
      <c r="BK32" s="87" t="s">
        <v>159</v>
      </c>
      <c r="BL32" s="88"/>
      <c r="BW32" s="88" t="n">
        <v>21</v>
      </c>
      <c r="BX32" s="9" t="s">
        <v>218</v>
      </c>
    </row>
    <row r="33" customFormat="false" ht="15" hidden="false" customHeight="true" outlineLevel="0" collapsed="false">
      <c r="A33" s="134" t="s">
        <v>219</v>
      </c>
      <c r="B33" s="134" t="s">
        <v>104</v>
      </c>
      <c r="C33" s="134" t="s">
        <v>220</v>
      </c>
      <c r="D33" s="135" t="s">
        <v>221</v>
      </c>
      <c r="E33" s="135"/>
      <c r="F33" s="134" t="s">
        <v>179</v>
      </c>
      <c r="G33" s="136" t="n">
        <f aca="false">'Stavební rozpočet'!G33</f>
        <v>154.965</v>
      </c>
      <c r="H33" s="137" t="n">
        <f aca="false">'Stavební rozpočet'!H33</f>
        <v>0</v>
      </c>
      <c r="I33" s="137" t="n">
        <f aca="false">ROUND(G33*AO33,2)</f>
        <v>0</v>
      </c>
      <c r="J33" s="137" t="n">
        <f aca="false">ROUND(G33*AP33,2)</f>
        <v>0</v>
      </c>
      <c r="K33" s="137" t="n">
        <f aca="false">ROUND(G33*H33,2)</f>
        <v>0</v>
      </c>
      <c r="L33" s="137" t="n">
        <f aca="false">'Stavební rozpočet'!L33</f>
        <v>0</v>
      </c>
      <c r="M33" s="137" t="n">
        <f aca="false">G33*L33</f>
        <v>0</v>
      </c>
      <c r="N33" s="138" t="s">
        <v>155</v>
      </c>
      <c r="Z33" s="88" t="n">
        <f aca="false">ROUND(IF(AQ33="5",BJ33,0),2)</f>
        <v>0</v>
      </c>
      <c r="AB33" s="88" t="n">
        <f aca="false">ROUND(IF(AQ33="1",BH33,0),2)</f>
        <v>0</v>
      </c>
      <c r="AC33" s="88" t="n">
        <f aca="false">ROUND(IF(AQ33="1",BI33,0),2)</f>
        <v>0</v>
      </c>
      <c r="AD33" s="88" t="n">
        <f aca="false">ROUND(IF(AQ33="7",BH33,0),2)</f>
        <v>0</v>
      </c>
      <c r="AE33" s="88" t="n">
        <f aca="false">ROUND(IF(AQ33="7",BI33,0),2)</f>
        <v>0</v>
      </c>
      <c r="AF33" s="88" t="n">
        <f aca="false">ROUND(IF(AQ33="2",BH33,0),2)</f>
        <v>0</v>
      </c>
      <c r="AG33" s="88" t="n">
        <f aca="false">ROUND(IF(AQ33="2",BI33,0),2)</f>
        <v>0</v>
      </c>
      <c r="AH33" s="88" t="n">
        <f aca="false">ROUND(IF(AQ33="0",BJ33,0),2)</f>
        <v>0</v>
      </c>
      <c r="AI33" s="116" t="s">
        <v>104</v>
      </c>
      <c r="AJ33" s="88" t="n">
        <f aca="false">IF(AN33=0,K33,0)</f>
        <v>0</v>
      </c>
      <c r="AK33" s="88" t="n">
        <f aca="false">IF(AN33=12,K33,0)</f>
        <v>0</v>
      </c>
      <c r="AL33" s="88" t="n">
        <f aca="false">IF(AN33=21,K33,0)</f>
        <v>0</v>
      </c>
      <c r="AN33" s="88" t="n">
        <v>21</v>
      </c>
      <c r="AO33" s="88" t="n">
        <f aca="false">H33*0</f>
        <v>0</v>
      </c>
      <c r="AP33" s="88" t="n">
        <f aca="false">H33*(1-0)</f>
        <v>0</v>
      </c>
      <c r="AQ33" s="87" t="s">
        <v>170</v>
      </c>
      <c r="AV33" s="88" t="n">
        <f aca="false">ROUND(AW33+AX33,2)</f>
        <v>0</v>
      </c>
      <c r="AW33" s="88" t="n">
        <f aca="false">ROUND(G33*AO33,2)</f>
        <v>0</v>
      </c>
      <c r="AX33" s="88" t="n">
        <f aca="false">ROUND(G33*AP33,2)</f>
        <v>0</v>
      </c>
      <c r="AY33" s="87" t="s">
        <v>209</v>
      </c>
      <c r="AZ33" s="87" t="s">
        <v>191</v>
      </c>
      <c r="BA33" s="116" t="s">
        <v>158</v>
      </c>
      <c r="BC33" s="88" t="n">
        <f aca="false">AW33+AX33</f>
        <v>0</v>
      </c>
      <c r="BD33" s="88" t="n">
        <f aca="false">H33/(100-BE33)*100</f>
        <v>0</v>
      </c>
      <c r="BE33" s="88" t="n">
        <v>0</v>
      </c>
      <c r="BF33" s="88" t="n">
        <f aca="false">M33</f>
        <v>0</v>
      </c>
      <c r="BH33" s="88" t="n">
        <f aca="false">G33*AO33</f>
        <v>0</v>
      </c>
      <c r="BI33" s="88" t="n">
        <f aca="false">G33*AP33</f>
        <v>0</v>
      </c>
      <c r="BJ33" s="88" t="n">
        <f aca="false">G33*H33</f>
        <v>0</v>
      </c>
      <c r="BK33" s="87" t="s">
        <v>159</v>
      </c>
      <c r="BL33" s="88"/>
      <c r="BW33" s="88" t="n">
        <v>21</v>
      </c>
      <c r="BX33" s="9" t="s">
        <v>221</v>
      </c>
    </row>
    <row r="34" customFormat="false" ht="15" hidden="false" customHeight="true" outlineLevel="0" collapsed="false">
      <c r="A34" s="134" t="s">
        <v>222</v>
      </c>
      <c r="B34" s="134" t="s">
        <v>104</v>
      </c>
      <c r="C34" s="134" t="s">
        <v>223</v>
      </c>
      <c r="D34" s="135" t="s">
        <v>224</v>
      </c>
      <c r="E34" s="135"/>
      <c r="F34" s="134" t="s">
        <v>179</v>
      </c>
      <c r="G34" s="136" t="n">
        <f aca="false">'Stavební rozpočet'!G34</f>
        <v>0.8</v>
      </c>
      <c r="H34" s="137" t="n">
        <f aca="false">'Stavební rozpočet'!H34</f>
        <v>0</v>
      </c>
      <c r="I34" s="137" t="n">
        <f aca="false">ROUND(G34*AO34,2)</f>
        <v>0</v>
      </c>
      <c r="J34" s="137" t="n">
        <f aca="false">ROUND(G34*AP34,2)</f>
        <v>0</v>
      </c>
      <c r="K34" s="137" t="n">
        <f aca="false">ROUND(G34*H34,2)</f>
        <v>0</v>
      </c>
      <c r="L34" s="137" t="n">
        <f aca="false">'Stavební rozpočet'!L34</f>
        <v>0</v>
      </c>
      <c r="M34" s="137" t="n">
        <f aca="false">G34*L34</f>
        <v>0</v>
      </c>
      <c r="N34" s="138" t="s">
        <v>155</v>
      </c>
      <c r="Z34" s="88" t="n">
        <f aca="false">ROUND(IF(AQ34="5",BJ34,0),2)</f>
        <v>0</v>
      </c>
      <c r="AB34" s="88" t="n">
        <f aca="false">ROUND(IF(AQ34="1",BH34,0),2)</f>
        <v>0</v>
      </c>
      <c r="AC34" s="88" t="n">
        <f aca="false">ROUND(IF(AQ34="1",BI34,0),2)</f>
        <v>0</v>
      </c>
      <c r="AD34" s="88" t="n">
        <f aca="false">ROUND(IF(AQ34="7",BH34,0),2)</f>
        <v>0</v>
      </c>
      <c r="AE34" s="88" t="n">
        <f aca="false">ROUND(IF(AQ34="7",BI34,0),2)</f>
        <v>0</v>
      </c>
      <c r="AF34" s="88" t="n">
        <f aca="false">ROUND(IF(AQ34="2",BH34,0),2)</f>
        <v>0</v>
      </c>
      <c r="AG34" s="88" t="n">
        <f aca="false">ROUND(IF(AQ34="2",BI34,0),2)</f>
        <v>0</v>
      </c>
      <c r="AH34" s="88" t="n">
        <f aca="false">ROUND(IF(AQ34="0",BJ34,0),2)</f>
        <v>0</v>
      </c>
      <c r="AI34" s="116" t="s">
        <v>104</v>
      </c>
      <c r="AJ34" s="88" t="n">
        <f aca="false">IF(AN34=0,K34,0)</f>
        <v>0</v>
      </c>
      <c r="AK34" s="88" t="n">
        <f aca="false">IF(AN34=12,K34,0)</f>
        <v>0</v>
      </c>
      <c r="AL34" s="88" t="n">
        <f aca="false">IF(AN34=21,K34,0)</f>
        <v>0</v>
      </c>
      <c r="AN34" s="88" t="n">
        <v>21</v>
      </c>
      <c r="AO34" s="88" t="n">
        <f aca="false">H34*0</f>
        <v>0</v>
      </c>
      <c r="AP34" s="88" t="n">
        <f aca="false">H34*(1-0)</f>
        <v>0</v>
      </c>
      <c r="AQ34" s="87" t="s">
        <v>170</v>
      </c>
      <c r="AV34" s="88" t="n">
        <f aca="false">ROUND(AW34+AX34,2)</f>
        <v>0</v>
      </c>
      <c r="AW34" s="88" t="n">
        <f aca="false">ROUND(G34*AO34,2)</f>
        <v>0</v>
      </c>
      <c r="AX34" s="88" t="n">
        <f aca="false">ROUND(G34*AP34,2)</f>
        <v>0</v>
      </c>
      <c r="AY34" s="87" t="s">
        <v>209</v>
      </c>
      <c r="AZ34" s="87" t="s">
        <v>191</v>
      </c>
      <c r="BA34" s="116" t="s">
        <v>158</v>
      </c>
      <c r="BC34" s="88" t="n">
        <f aca="false">AW34+AX34</f>
        <v>0</v>
      </c>
      <c r="BD34" s="88" t="n">
        <f aca="false">H34/(100-BE34)*100</f>
        <v>0</v>
      </c>
      <c r="BE34" s="88" t="n">
        <v>0</v>
      </c>
      <c r="BF34" s="88" t="n">
        <f aca="false">M34</f>
        <v>0</v>
      </c>
      <c r="BH34" s="88" t="n">
        <f aca="false">G34*AO34</f>
        <v>0</v>
      </c>
      <c r="BI34" s="88" t="n">
        <f aca="false">G34*AP34</f>
        <v>0</v>
      </c>
      <c r="BJ34" s="88" t="n">
        <f aca="false">G34*H34</f>
        <v>0</v>
      </c>
      <c r="BK34" s="87" t="s">
        <v>159</v>
      </c>
      <c r="BL34" s="88"/>
      <c r="BW34" s="88" t="n">
        <v>21</v>
      </c>
      <c r="BX34" s="9" t="s">
        <v>224</v>
      </c>
    </row>
    <row r="35" customFormat="false" ht="15" hidden="false" customHeight="true" outlineLevel="0" collapsed="false">
      <c r="A35" s="134" t="s">
        <v>225</v>
      </c>
      <c r="B35" s="134" t="s">
        <v>104</v>
      </c>
      <c r="C35" s="134" t="s">
        <v>226</v>
      </c>
      <c r="D35" s="135" t="s">
        <v>227</v>
      </c>
      <c r="E35" s="135"/>
      <c r="F35" s="134" t="s">
        <v>179</v>
      </c>
      <c r="G35" s="136" t="n">
        <f aca="false">'Stavební rozpočet'!G35</f>
        <v>0.672</v>
      </c>
      <c r="H35" s="137" t="n">
        <f aca="false">'Stavební rozpočet'!H35</f>
        <v>0</v>
      </c>
      <c r="I35" s="137" t="n">
        <f aca="false">ROUND(G35*AO35,2)</f>
        <v>0</v>
      </c>
      <c r="J35" s="137" t="n">
        <f aca="false">ROUND(G35*AP35,2)</f>
        <v>0</v>
      </c>
      <c r="K35" s="137" t="n">
        <f aca="false">ROUND(G35*H35,2)</f>
        <v>0</v>
      </c>
      <c r="L35" s="137" t="n">
        <f aca="false">'Stavební rozpočet'!L35</f>
        <v>0</v>
      </c>
      <c r="M35" s="137" t="n">
        <f aca="false">G35*L35</f>
        <v>0</v>
      </c>
      <c r="N35" s="138" t="s">
        <v>155</v>
      </c>
      <c r="Z35" s="88" t="n">
        <f aca="false">ROUND(IF(AQ35="5",BJ35,0),2)</f>
        <v>0</v>
      </c>
      <c r="AB35" s="88" t="n">
        <f aca="false">ROUND(IF(AQ35="1",BH35,0),2)</f>
        <v>0</v>
      </c>
      <c r="AC35" s="88" t="n">
        <f aca="false">ROUND(IF(AQ35="1",BI35,0),2)</f>
        <v>0</v>
      </c>
      <c r="AD35" s="88" t="n">
        <f aca="false">ROUND(IF(AQ35="7",BH35,0),2)</f>
        <v>0</v>
      </c>
      <c r="AE35" s="88" t="n">
        <f aca="false">ROUND(IF(AQ35="7",BI35,0),2)</f>
        <v>0</v>
      </c>
      <c r="AF35" s="88" t="n">
        <f aca="false">ROUND(IF(AQ35="2",BH35,0),2)</f>
        <v>0</v>
      </c>
      <c r="AG35" s="88" t="n">
        <f aca="false">ROUND(IF(AQ35="2",BI35,0),2)</f>
        <v>0</v>
      </c>
      <c r="AH35" s="88" t="n">
        <f aca="false">ROUND(IF(AQ35="0",BJ35,0),2)</f>
        <v>0</v>
      </c>
      <c r="AI35" s="116" t="s">
        <v>104</v>
      </c>
      <c r="AJ35" s="88" t="n">
        <f aca="false">IF(AN35=0,K35,0)</f>
        <v>0</v>
      </c>
      <c r="AK35" s="88" t="n">
        <f aca="false">IF(AN35=12,K35,0)</f>
        <v>0</v>
      </c>
      <c r="AL35" s="88" t="n">
        <f aca="false">IF(AN35=21,K35,0)</f>
        <v>0</v>
      </c>
      <c r="AN35" s="88" t="n">
        <v>21</v>
      </c>
      <c r="AO35" s="88" t="n">
        <f aca="false">H35*0</f>
        <v>0</v>
      </c>
      <c r="AP35" s="88" t="n">
        <f aca="false">H35*(1-0)</f>
        <v>0</v>
      </c>
      <c r="AQ35" s="87" t="s">
        <v>170</v>
      </c>
      <c r="AV35" s="88" t="n">
        <f aca="false">ROUND(AW35+AX35,2)</f>
        <v>0</v>
      </c>
      <c r="AW35" s="88" t="n">
        <f aca="false">ROUND(G35*AO35,2)</f>
        <v>0</v>
      </c>
      <c r="AX35" s="88" t="n">
        <f aca="false">ROUND(G35*AP35,2)</f>
        <v>0</v>
      </c>
      <c r="AY35" s="87" t="s">
        <v>209</v>
      </c>
      <c r="AZ35" s="87" t="s">
        <v>191</v>
      </c>
      <c r="BA35" s="116" t="s">
        <v>158</v>
      </c>
      <c r="BC35" s="88" t="n">
        <f aca="false">AW35+AX35</f>
        <v>0</v>
      </c>
      <c r="BD35" s="88" t="n">
        <f aca="false">H35/(100-BE35)*100</f>
        <v>0</v>
      </c>
      <c r="BE35" s="88" t="n">
        <v>0</v>
      </c>
      <c r="BF35" s="88" t="n">
        <f aca="false">M35</f>
        <v>0</v>
      </c>
      <c r="BH35" s="88" t="n">
        <f aca="false">G35*AO35</f>
        <v>0</v>
      </c>
      <c r="BI35" s="88" t="n">
        <f aca="false">G35*AP35</f>
        <v>0</v>
      </c>
      <c r="BJ35" s="88" t="n">
        <f aca="false">G35*H35</f>
        <v>0</v>
      </c>
      <c r="BK35" s="87" t="s">
        <v>159</v>
      </c>
      <c r="BL35" s="88"/>
      <c r="BW35" s="88" t="n">
        <v>21</v>
      </c>
      <c r="BX35" s="9" t="s">
        <v>227</v>
      </c>
    </row>
    <row r="36" customFormat="false" ht="23.85" hidden="false" customHeight="true" outlineLevel="0" collapsed="false">
      <c r="A36" s="134" t="s">
        <v>228</v>
      </c>
      <c r="B36" s="134" t="s">
        <v>104</v>
      </c>
      <c r="C36" s="134" t="s">
        <v>229</v>
      </c>
      <c r="D36" s="135" t="s">
        <v>230</v>
      </c>
      <c r="E36" s="135"/>
      <c r="F36" s="134" t="s">
        <v>179</v>
      </c>
      <c r="G36" s="136" t="n">
        <f aca="false">'Stavební rozpočet'!G36</f>
        <v>7.988</v>
      </c>
      <c r="H36" s="137" t="n">
        <f aca="false">'Stavební rozpočet'!H36</f>
        <v>0</v>
      </c>
      <c r="I36" s="137" t="n">
        <f aca="false">ROUND(G36*AO36,2)</f>
        <v>0</v>
      </c>
      <c r="J36" s="137" t="n">
        <f aca="false">ROUND(G36*AP36,2)</f>
        <v>0</v>
      </c>
      <c r="K36" s="137" t="n">
        <f aca="false">ROUND(G36*H36,2)</f>
        <v>0</v>
      </c>
      <c r="L36" s="137" t="n">
        <f aca="false">'Stavební rozpočet'!L36</f>
        <v>0</v>
      </c>
      <c r="M36" s="137" t="n">
        <f aca="false">G36*L36</f>
        <v>0</v>
      </c>
      <c r="N36" s="138" t="s">
        <v>155</v>
      </c>
      <c r="Z36" s="88" t="n">
        <f aca="false">ROUND(IF(AQ36="5",BJ36,0),2)</f>
        <v>0</v>
      </c>
      <c r="AB36" s="88" t="n">
        <f aca="false">ROUND(IF(AQ36="1",BH36,0),2)</f>
        <v>0</v>
      </c>
      <c r="AC36" s="88" t="n">
        <f aca="false">ROUND(IF(AQ36="1",BI36,0),2)</f>
        <v>0</v>
      </c>
      <c r="AD36" s="88" t="n">
        <f aca="false">ROUND(IF(AQ36="7",BH36,0),2)</f>
        <v>0</v>
      </c>
      <c r="AE36" s="88" t="n">
        <f aca="false">ROUND(IF(AQ36="7",BI36,0),2)</f>
        <v>0</v>
      </c>
      <c r="AF36" s="88" t="n">
        <f aca="false">ROUND(IF(AQ36="2",BH36,0),2)</f>
        <v>0</v>
      </c>
      <c r="AG36" s="88" t="n">
        <f aca="false">ROUND(IF(AQ36="2",BI36,0),2)</f>
        <v>0</v>
      </c>
      <c r="AH36" s="88" t="n">
        <f aca="false">ROUND(IF(AQ36="0",BJ36,0),2)</f>
        <v>0</v>
      </c>
      <c r="AI36" s="116" t="s">
        <v>104</v>
      </c>
      <c r="AJ36" s="88" t="n">
        <f aca="false">IF(AN36=0,K36,0)</f>
        <v>0</v>
      </c>
      <c r="AK36" s="88" t="n">
        <f aca="false">IF(AN36=12,K36,0)</f>
        <v>0</v>
      </c>
      <c r="AL36" s="88" t="n">
        <f aca="false">IF(AN36=21,K36,0)</f>
        <v>0</v>
      </c>
      <c r="AN36" s="88" t="n">
        <v>21</v>
      </c>
      <c r="AO36" s="88" t="n">
        <f aca="false">H36*0</f>
        <v>0</v>
      </c>
      <c r="AP36" s="88" t="n">
        <f aca="false">H36*(1-0)</f>
        <v>0</v>
      </c>
      <c r="AQ36" s="87" t="s">
        <v>170</v>
      </c>
      <c r="AV36" s="88" t="n">
        <f aca="false">ROUND(AW36+AX36,2)</f>
        <v>0</v>
      </c>
      <c r="AW36" s="88" t="n">
        <f aca="false">ROUND(G36*AO36,2)</f>
        <v>0</v>
      </c>
      <c r="AX36" s="88" t="n">
        <f aca="false">ROUND(G36*AP36,2)</f>
        <v>0</v>
      </c>
      <c r="AY36" s="87" t="s">
        <v>209</v>
      </c>
      <c r="AZ36" s="87" t="s">
        <v>191</v>
      </c>
      <c r="BA36" s="116" t="s">
        <v>158</v>
      </c>
      <c r="BC36" s="88" t="n">
        <f aca="false">AW36+AX36</f>
        <v>0</v>
      </c>
      <c r="BD36" s="88" t="n">
        <f aca="false">H36/(100-BE36)*100</f>
        <v>0</v>
      </c>
      <c r="BE36" s="88" t="n">
        <v>0</v>
      </c>
      <c r="BF36" s="88" t="n">
        <f aca="false">M36</f>
        <v>0</v>
      </c>
      <c r="BH36" s="88" t="n">
        <f aca="false">G36*AO36</f>
        <v>0</v>
      </c>
      <c r="BI36" s="88" t="n">
        <f aca="false">G36*AP36</f>
        <v>0</v>
      </c>
      <c r="BJ36" s="88" t="n">
        <f aca="false">G36*H36</f>
        <v>0</v>
      </c>
      <c r="BK36" s="87" t="s">
        <v>159</v>
      </c>
      <c r="BL36" s="88"/>
      <c r="BW36" s="88" t="n">
        <v>21</v>
      </c>
      <c r="BX36" s="9" t="s">
        <v>230</v>
      </c>
    </row>
    <row r="37" customFormat="false" ht="15" hidden="false" customHeight="true" outlineLevel="0" collapsed="false">
      <c r="A37" s="134" t="s">
        <v>231</v>
      </c>
      <c r="B37" s="134" t="s">
        <v>104</v>
      </c>
      <c r="C37" s="134" t="s">
        <v>232</v>
      </c>
      <c r="D37" s="135" t="s">
        <v>233</v>
      </c>
      <c r="E37" s="135"/>
      <c r="F37" s="134" t="s">
        <v>179</v>
      </c>
      <c r="G37" s="136" t="n">
        <f aca="false">'Stavební rozpočet'!G37</f>
        <v>0.87</v>
      </c>
      <c r="H37" s="137" t="n">
        <f aca="false">'Stavební rozpočet'!H37</f>
        <v>0</v>
      </c>
      <c r="I37" s="137" t="n">
        <f aca="false">ROUND(G37*AO37,2)</f>
        <v>0</v>
      </c>
      <c r="J37" s="137" t="n">
        <f aca="false">ROUND(G37*AP37,2)</f>
        <v>0</v>
      </c>
      <c r="K37" s="137" t="n">
        <f aca="false">ROUND(G37*H37,2)</f>
        <v>0</v>
      </c>
      <c r="L37" s="137" t="n">
        <f aca="false">'Stavební rozpočet'!L37</f>
        <v>0</v>
      </c>
      <c r="M37" s="137" t="n">
        <f aca="false">G37*L37</f>
        <v>0</v>
      </c>
      <c r="N37" s="138" t="s">
        <v>155</v>
      </c>
      <c r="Z37" s="88" t="n">
        <f aca="false">ROUND(IF(AQ37="5",BJ37,0),2)</f>
        <v>0</v>
      </c>
      <c r="AB37" s="88" t="n">
        <f aca="false">ROUND(IF(AQ37="1",BH37,0),2)</f>
        <v>0</v>
      </c>
      <c r="AC37" s="88" t="n">
        <f aca="false">ROUND(IF(AQ37="1",BI37,0),2)</f>
        <v>0</v>
      </c>
      <c r="AD37" s="88" t="n">
        <f aca="false">ROUND(IF(AQ37="7",BH37,0),2)</f>
        <v>0</v>
      </c>
      <c r="AE37" s="88" t="n">
        <f aca="false">ROUND(IF(AQ37="7",BI37,0),2)</f>
        <v>0</v>
      </c>
      <c r="AF37" s="88" t="n">
        <f aca="false">ROUND(IF(AQ37="2",BH37,0),2)</f>
        <v>0</v>
      </c>
      <c r="AG37" s="88" t="n">
        <f aca="false">ROUND(IF(AQ37="2",BI37,0),2)</f>
        <v>0</v>
      </c>
      <c r="AH37" s="88" t="n">
        <f aca="false">ROUND(IF(AQ37="0",BJ37,0),2)</f>
        <v>0</v>
      </c>
      <c r="AI37" s="116" t="s">
        <v>104</v>
      </c>
      <c r="AJ37" s="88" t="n">
        <f aca="false">IF(AN37=0,K37,0)</f>
        <v>0</v>
      </c>
      <c r="AK37" s="88" t="n">
        <f aca="false">IF(AN37=12,K37,0)</f>
        <v>0</v>
      </c>
      <c r="AL37" s="88" t="n">
        <f aca="false">IF(AN37=21,K37,0)</f>
        <v>0</v>
      </c>
      <c r="AN37" s="88" t="n">
        <v>21</v>
      </c>
      <c r="AO37" s="88" t="n">
        <f aca="false">H37*0</f>
        <v>0</v>
      </c>
      <c r="AP37" s="88" t="n">
        <f aca="false">H37*(1-0)</f>
        <v>0</v>
      </c>
      <c r="AQ37" s="87" t="s">
        <v>170</v>
      </c>
      <c r="AV37" s="88" t="n">
        <f aca="false">ROUND(AW37+AX37,2)</f>
        <v>0</v>
      </c>
      <c r="AW37" s="88" t="n">
        <f aca="false">ROUND(G37*AO37,2)</f>
        <v>0</v>
      </c>
      <c r="AX37" s="88" t="n">
        <f aca="false">ROUND(G37*AP37,2)</f>
        <v>0</v>
      </c>
      <c r="AY37" s="87" t="s">
        <v>209</v>
      </c>
      <c r="AZ37" s="87" t="s">
        <v>191</v>
      </c>
      <c r="BA37" s="116" t="s">
        <v>158</v>
      </c>
      <c r="BC37" s="88" t="n">
        <f aca="false">AW37+AX37</f>
        <v>0</v>
      </c>
      <c r="BD37" s="88" t="n">
        <f aca="false">H37/(100-BE37)*100</f>
        <v>0</v>
      </c>
      <c r="BE37" s="88" t="n">
        <v>0</v>
      </c>
      <c r="BF37" s="88" t="n">
        <f aca="false">M37</f>
        <v>0</v>
      </c>
      <c r="BH37" s="88" t="n">
        <f aca="false">G37*AO37</f>
        <v>0</v>
      </c>
      <c r="BI37" s="88" t="n">
        <f aca="false">G37*AP37</f>
        <v>0</v>
      </c>
      <c r="BJ37" s="88" t="n">
        <f aca="false">G37*H37</f>
        <v>0</v>
      </c>
      <c r="BK37" s="87" t="s">
        <v>159</v>
      </c>
      <c r="BL37" s="88"/>
      <c r="BW37" s="88" t="n">
        <v>21</v>
      </c>
      <c r="BX37" s="9" t="s">
        <v>233</v>
      </c>
    </row>
    <row r="38" customFormat="false" ht="19.85" hidden="false" customHeight="true" outlineLevel="0" collapsed="false">
      <c r="I38" s="101" t="s">
        <v>114</v>
      </c>
      <c r="J38" s="101"/>
      <c r="K38" s="167" t="n">
        <f aca="false">ROUND(SUM(K13,K22,K26,K28),1)</f>
        <v>0</v>
      </c>
    </row>
    <row r="39" customFormat="false" ht="15" hidden="false" customHeight="false" outlineLevel="0" collapsed="false">
      <c r="A39" s="1"/>
    </row>
    <row r="40" customFormat="false" ht="15" hidden="true" customHeight="false" outlineLevel="0" collapsed="false">
      <c r="A40" s="9"/>
      <c r="B40" s="9"/>
      <c r="C40" s="9"/>
      <c r="D40" s="9"/>
      <c r="E40" s="9"/>
      <c r="F40" s="9"/>
      <c r="G40" s="9"/>
      <c r="H40" s="9"/>
      <c r="I40" s="9"/>
      <c r="J40" s="9"/>
      <c r="K40" s="9"/>
      <c r="L40" s="9"/>
      <c r="M40" s="9"/>
      <c r="N40" s="9"/>
    </row>
  </sheetData>
  <mergeCells count="57">
    <mergeCell ref="A1:N1"/>
    <mergeCell ref="A2:B3"/>
    <mergeCell ref="C2:D3"/>
    <mergeCell ref="E2:E3"/>
    <mergeCell ref="F2:G3"/>
    <mergeCell ref="H2:H3"/>
    <mergeCell ref="I2:N3"/>
    <mergeCell ref="A4:B5"/>
    <mergeCell ref="C4:D5"/>
    <mergeCell ref="E4:E5"/>
    <mergeCell ref="F4:G5"/>
    <mergeCell ref="H4:H5"/>
    <mergeCell ref="I4:N5"/>
    <mergeCell ref="A6:B7"/>
    <mergeCell ref="C6:D7"/>
    <mergeCell ref="E6:E7"/>
    <mergeCell ref="F6:G7"/>
    <mergeCell ref="H6:H7"/>
    <mergeCell ref="I6:N7"/>
    <mergeCell ref="A8:B9"/>
    <mergeCell ref="C8:D9"/>
    <mergeCell ref="E8:E9"/>
    <mergeCell ref="F8:G9"/>
    <mergeCell ref="H8:H9"/>
    <mergeCell ref="I8:N9"/>
    <mergeCell ref="D10:E10"/>
    <mergeCell ref="I10:K10"/>
    <mergeCell ref="L10:M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I38:J38"/>
    <mergeCell ref="A40:N40"/>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B8860B"/>
    <pageSetUpPr fitToPage="true"/>
  </sheetPr>
  <dimension ref="A1:H6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1484375" defaultRowHeight="15" customHeight="true" zeroHeight="false" outlineLevelRow="0" outlineLevelCol="0"/>
  <cols>
    <col collapsed="false" customWidth="true" hidden="false" outlineLevel="0" max="2" min="1" style="22" width="9.14"/>
    <col collapsed="false" customWidth="true" hidden="false" outlineLevel="0" max="3" min="3" style="22" width="14.29"/>
    <col collapsed="false" customWidth="true" hidden="false" outlineLevel="0" max="4" min="4" style="103" width="48"/>
    <col collapsed="false" customWidth="true" hidden="false" outlineLevel="0" max="5" min="5" style="22" width="37.95"/>
    <col collapsed="false" customWidth="true" hidden="false" outlineLevel="0" max="6" min="6" style="22" width="24.14"/>
    <col collapsed="false" customWidth="true" hidden="false" outlineLevel="0" max="7" min="7" style="22" width="15.71"/>
    <col collapsed="false" customWidth="true" hidden="false" outlineLevel="0" max="8" min="8" style="22" width="20"/>
  </cols>
  <sheetData>
    <row r="1" customFormat="false" ht="39.7" hidden="false" customHeight="true" outlineLevel="0" collapsed="false">
      <c r="A1" s="106" t="s">
        <v>780</v>
      </c>
      <c r="B1" s="106"/>
      <c r="C1" s="106"/>
      <c r="D1" s="106"/>
      <c r="E1" s="106"/>
      <c r="F1" s="106"/>
      <c r="G1" s="106"/>
      <c r="H1" s="106"/>
    </row>
    <row r="2" customFormat="false" ht="15" hidden="false" customHeight="true" outlineLevel="0" collapsed="false">
      <c r="A2" s="3" t="s">
        <v>1</v>
      </c>
      <c r="B2" s="3"/>
      <c r="C2" s="4" t="str">
        <f aca="false">'Stavební rozpočet'!C2</f>
        <v>Přeměna sídlištních ploch – II. Etapa _ Fontána Jablko</v>
      </c>
      <c r="D2" s="4"/>
      <c r="E2" s="5" t="s">
        <v>2</v>
      </c>
      <c r="F2" s="73" t="str">
        <f aca="false">'Stavební rozpočet'!I2</f>
        <v>Městská část Praha 12, Generála Šišky 2375/6, 143</v>
      </c>
      <c r="G2" s="73"/>
      <c r="H2" s="73"/>
    </row>
    <row r="3" customFormat="false" ht="15" hidden="false" customHeight="false" outlineLevel="0" collapsed="false">
      <c r="A3" s="3"/>
      <c r="B3" s="3"/>
      <c r="C3" s="4"/>
      <c r="D3" s="4"/>
      <c r="E3" s="5"/>
      <c r="F3" s="5"/>
      <c r="G3" s="73"/>
      <c r="H3" s="73"/>
    </row>
    <row r="4" customFormat="false" ht="15" hidden="false" customHeight="true" outlineLevel="0" collapsed="false">
      <c r="A4" s="8" t="s">
        <v>5</v>
      </c>
      <c r="B4" s="8"/>
      <c r="C4" s="9" t="str">
        <f aca="false">'Stavební rozpočet'!C4</f>
        <v>Stavební úpravy veřejného prostranství _Fontána Jablko</v>
      </c>
      <c r="D4" s="9"/>
      <c r="E4" s="9" t="s">
        <v>6</v>
      </c>
      <c r="F4" s="74" t="str">
        <f aca="false">'Stavební rozpočet'!I4</f>
        <v>HUA HUA ARCHITECTS s.r.o., Porážka 459/2, 602 00 Brno</v>
      </c>
      <c r="G4" s="74"/>
      <c r="H4" s="74"/>
    </row>
    <row r="5" customFormat="false" ht="15" hidden="false" customHeight="false" outlineLevel="0" collapsed="false">
      <c r="A5" s="8"/>
      <c r="B5" s="8"/>
      <c r="C5" s="9"/>
      <c r="D5" s="9"/>
      <c r="E5" s="9"/>
      <c r="F5" s="9"/>
      <c r="G5" s="74"/>
      <c r="H5" s="74"/>
    </row>
    <row r="6" customFormat="false" ht="15" hidden="false" customHeight="true" outlineLevel="0" collapsed="false">
      <c r="A6" s="8" t="s">
        <v>8</v>
      </c>
      <c r="B6" s="8"/>
      <c r="C6" s="9" t="str">
        <f aca="false">'Stavební rozpočet'!C6</f>
        <v>Praha (554782),Modřany (728616), par.č. 4400/448</v>
      </c>
      <c r="D6" s="9"/>
      <c r="E6" s="9" t="s">
        <v>9</v>
      </c>
      <c r="F6" s="74" t="str">
        <f aca="false">'Stavební rozpočet'!I6</f>
        <v> </v>
      </c>
      <c r="G6" s="74"/>
      <c r="H6" s="74"/>
    </row>
    <row r="7" customFormat="false" ht="15" hidden="false" customHeight="false" outlineLevel="0" collapsed="false">
      <c r="A7" s="8"/>
      <c r="B7" s="8"/>
      <c r="C7" s="9"/>
      <c r="D7" s="9"/>
      <c r="E7" s="9"/>
      <c r="F7" s="9"/>
      <c r="G7" s="74"/>
      <c r="H7" s="74"/>
    </row>
    <row r="8" customFormat="false" ht="15" hidden="false" customHeight="true" outlineLevel="0" collapsed="false">
      <c r="A8" s="8" t="s">
        <v>14</v>
      </c>
      <c r="B8" s="8"/>
      <c r="C8" s="9" t="str">
        <f aca="false">'Stavební rozpočet'!I8</f>
        <v>Bohuslav Hemala</v>
      </c>
      <c r="D8" s="9"/>
      <c r="E8" s="9" t="s">
        <v>96</v>
      </c>
      <c r="F8" s="74" t="str">
        <f aca="false">'Stavební rozpočet'!F8</f>
        <v>08.01.2026</v>
      </c>
      <c r="G8" s="74"/>
      <c r="H8" s="74"/>
    </row>
    <row r="9" customFormat="false" ht="15" hidden="false" customHeight="false" outlineLevel="0" collapsed="false">
      <c r="A9" s="8"/>
      <c r="B9" s="8"/>
      <c r="C9" s="9"/>
      <c r="D9" s="9"/>
      <c r="E9" s="9"/>
      <c r="F9" s="9"/>
      <c r="G9" s="74"/>
      <c r="H9" s="74"/>
    </row>
    <row r="10" customFormat="false" ht="15" hidden="false" customHeight="true" outlineLevel="0" collapsed="false">
      <c r="A10" s="169" t="s">
        <v>124</v>
      </c>
      <c r="B10" s="170" t="s">
        <v>100</v>
      </c>
      <c r="C10" s="170" t="s">
        <v>125</v>
      </c>
      <c r="D10" s="171" t="s">
        <v>101</v>
      </c>
      <c r="E10" s="171"/>
      <c r="F10" s="170" t="s">
        <v>126</v>
      </c>
      <c r="G10" s="172" t="s">
        <v>127</v>
      </c>
      <c r="H10" s="173" t="s">
        <v>637</v>
      </c>
    </row>
    <row r="11" customFormat="false" ht="15" hidden="false" customHeight="true" outlineLevel="0" collapsed="false">
      <c r="A11" s="129"/>
      <c r="B11" s="129" t="s">
        <v>638</v>
      </c>
      <c r="C11" s="129" t="s">
        <v>149</v>
      </c>
      <c r="D11" s="130" t="s">
        <v>150</v>
      </c>
      <c r="E11" s="130"/>
      <c r="F11" s="129"/>
      <c r="G11" s="133"/>
      <c r="H11" s="133"/>
    </row>
    <row r="12" customFormat="false" ht="15" hidden="false" customHeight="true" outlineLevel="0" collapsed="false">
      <c r="A12" s="129"/>
      <c r="B12" s="129" t="s">
        <v>638</v>
      </c>
      <c r="C12" s="129" t="s">
        <v>184</v>
      </c>
      <c r="D12" s="130" t="s">
        <v>185</v>
      </c>
      <c r="E12" s="130"/>
      <c r="F12" s="129"/>
      <c r="G12" s="133"/>
      <c r="H12" s="133"/>
    </row>
    <row r="13" customFormat="false" ht="15" hidden="false" customHeight="true" outlineLevel="0" collapsed="false">
      <c r="A13" s="129"/>
      <c r="B13" s="129" t="s">
        <v>638</v>
      </c>
      <c r="C13" s="129" t="s">
        <v>197</v>
      </c>
      <c r="D13" s="130" t="s">
        <v>198</v>
      </c>
      <c r="E13" s="130"/>
      <c r="F13" s="129"/>
      <c r="G13" s="133"/>
      <c r="H13" s="133"/>
    </row>
    <row r="14" customFormat="false" ht="15" hidden="false" customHeight="true" outlineLevel="0" collapsed="false">
      <c r="A14" s="129"/>
      <c r="B14" s="129" t="s">
        <v>638</v>
      </c>
      <c r="C14" s="129" t="s">
        <v>204</v>
      </c>
      <c r="D14" s="130" t="s">
        <v>205</v>
      </c>
      <c r="E14" s="130"/>
      <c r="F14" s="129"/>
      <c r="G14" s="133"/>
      <c r="H14" s="133"/>
    </row>
    <row r="15" customFormat="false" ht="15" hidden="false" customHeight="true" outlineLevel="0" collapsed="false">
      <c r="A15" s="134" t="s">
        <v>151</v>
      </c>
      <c r="B15" s="134" t="s">
        <v>104</v>
      </c>
      <c r="C15" s="134" t="s">
        <v>152</v>
      </c>
      <c r="D15" s="135" t="s">
        <v>153</v>
      </c>
      <c r="E15" s="135"/>
      <c r="F15" s="134" t="s">
        <v>154</v>
      </c>
      <c r="G15" s="137" t="n">
        <v>22.7</v>
      </c>
      <c r="H15" s="137" t="n">
        <v>0</v>
      </c>
    </row>
    <row r="16" customFormat="false" ht="15" hidden="false" customHeight="false" outlineLevel="0" collapsed="false">
      <c r="A16" s="174"/>
      <c r="B16" s="174"/>
      <c r="C16" s="174"/>
      <c r="D16" s="175" t="s">
        <v>639</v>
      </c>
      <c r="E16" s="176"/>
      <c r="F16" s="176"/>
      <c r="G16" s="177" t="n">
        <v>22.7</v>
      </c>
      <c r="H16" s="174"/>
    </row>
    <row r="17" customFormat="false" ht="15" hidden="false" customHeight="true" outlineLevel="0" collapsed="false">
      <c r="A17" s="134" t="s">
        <v>160</v>
      </c>
      <c r="B17" s="134" t="s">
        <v>104</v>
      </c>
      <c r="C17" s="134" t="s">
        <v>161</v>
      </c>
      <c r="D17" s="135" t="s">
        <v>162</v>
      </c>
      <c r="E17" s="135"/>
      <c r="F17" s="134" t="s">
        <v>163</v>
      </c>
      <c r="G17" s="137" t="n">
        <v>1</v>
      </c>
      <c r="H17" s="137" t="n">
        <v>0</v>
      </c>
    </row>
    <row r="18" customFormat="false" ht="15" hidden="false" customHeight="false" outlineLevel="0" collapsed="false">
      <c r="A18" s="174"/>
      <c r="B18" s="174"/>
      <c r="C18" s="174"/>
      <c r="D18" s="175" t="s">
        <v>151</v>
      </c>
      <c r="E18" s="176"/>
      <c r="F18" s="176"/>
      <c r="G18" s="177" t="n">
        <v>1</v>
      </c>
      <c r="H18" s="174"/>
    </row>
    <row r="19" customFormat="false" ht="15" hidden="false" customHeight="true" outlineLevel="0" collapsed="false">
      <c r="A19" s="134" t="s">
        <v>164</v>
      </c>
      <c r="B19" s="134" t="s">
        <v>104</v>
      </c>
      <c r="C19" s="134" t="s">
        <v>161</v>
      </c>
      <c r="D19" s="135" t="s">
        <v>165</v>
      </c>
      <c r="E19" s="135"/>
      <c r="F19" s="134" t="s">
        <v>163</v>
      </c>
      <c r="G19" s="137" t="n">
        <v>5</v>
      </c>
      <c r="H19" s="137" t="n">
        <v>0</v>
      </c>
    </row>
    <row r="20" customFormat="false" ht="15" hidden="false" customHeight="false" outlineLevel="0" collapsed="false">
      <c r="A20" s="174"/>
      <c r="B20" s="174"/>
      <c r="C20" s="174"/>
      <c r="D20" s="175" t="s">
        <v>640</v>
      </c>
      <c r="E20" s="176"/>
      <c r="F20" s="176"/>
      <c r="G20" s="177" t="n">
        <v>5</v>
      </c>
      <c r="H20" s="174"/>
    </row>
    <row r="21" customFormat="false" ht="15" hidden="false" customHeight="true" outlineLevel="0" collapsed="false">
      <c r="A21" s="134" t="s">
        <v>166</v>
      </c>
      <c r="B21" s="134" t="s">
        <v>104</v>
      </c>
      <c r="C21" s="134" t="s">
        <v>167</v>
      </c>
      <c r="D21" s="135" t="s">
        <v>168</v>
      </c>
      <c r="E21" s="135"/>
      <c r="F21" s="134" t="s">
        <v>169</v>
      </c>
      <c r="G21" s="137" t="n">
        <v>6</v>
      </c>
      <c r="H21" s="137" t="n">
        <v>0</v>
      </c>
    </row>
    <row r="22" customFormat="false" ht="15" hidden="false" customHeight="false" outlineLevel="0" collapsed="false">
      <c r="A22" s="174"/>
      <c r="B22" s="174"/>
      <c r="C22" s="174"/>
      <c r="D22" s="175" t="s">
        <v>173</v>
      </c>
      <c r="E22" s="176"/>
      <c r="F22" s="176"/>
      <c r="G22" s="177" t="n">
        <v>6</v>
      </c>
      <c r="H22" s="174"/>
    </row>
    <row r="23" customFormat="false" ht="15" hidden="false" customHeight="true" outlineLevel="0" collapsed="false">
      <c r="A23" s="134" t="s">
        <v>170</v>
      </c>
      <c r="B23" s="134" t="s">
        <v>104</v>
      </c>
      <c r="C23" s="134" t="s">
        <v>171</v>
      </c>
      <c r="D23" s="135" t="s">
        <v>172</v>
      </c>
      <c r="E23" s="135"/>
      <c r="F23" s="134" t="s">
        <v>169</v>
      </c>
      <c r="G23" s="137" t="n">
        <v>6</v>
      </c>
      <c r="H23" s="137" t="n">
        <v>0</v>
      </c>
    </row>
    <row r="24" customFormat="false" ht="15" hidden="false" customHeight="false" outlineLevel="0" collapsed="false">
      <c r="A24" s="174"/>
      <c r="B24" s="174"/>
      <c r="C24" s="174"/>
      <c r="D24" s="175" t="s">
        <v>173</v>
      </c>
      <c r="E24" s="176"/>
      <c r="F24" s="176"/>
      <c r="G24" s="177" t="n">
        <v>6</v>
      </c>
      <c r="H24" s="174"/>
    </row>
    <row r="25" customFormat="false" ht="15" hidden="false" customHeight="true" outlineLevel="0" collapsed="false">
      <c r="A25" s="134" t="s">
        <v>173</v>
      </c>
      <c r="B25" s="134" t="s">
        <v>104</v>
      </c>
      <c r="C25" s="134" t="s">
        <v>174</v>
      </c>
      <c r="D25" s="135" t="s">
        <v>175</v>
      </c>
      <c r="E25" s="135"/>
      <c r="F25" s="134" t="s">
        <v>169</v>
      </c>
      <c r="G25" s="137" t="n">
        <v>12</v>
      </c>
      <c r="H25" s="137" t="n">
        <v>0</v>
      </c>
    </row>
    <row r="26" customFormat="false" ht="15" hidden="false" customHeight="false" outlineLevel="0" collapsed="false">
      <c r="A26" s="174"/>
      <c r="B26" s="174"/>
      <c r="C26" s="174"/>
      <c r="D26" s="175" t="s">
        <v>641</v>
      </c>
      <c r="E26" s="176" t="s">
        <v>642</v>
      </c>
      <c r="F26" s="176"/>
      <c r="G26" s="177" t="n">
        <v>12</v>
      </c>
      <c r="H26" s="174"/>
    </row>
    <row r="27" customFormat="false" ht="15" hidden="false" customHeight="true" outlineLevel="0" collapsed="false">
      <c r="A27" s="139" t="s">
        <v>176</v>
      </c>
      <c r="B27" s="139" t="s">
        <v>104</v>
      </c>
      <c r="C27" s="139" t="s">
        <v>177</v>
      </c>
      <c r="D27" s="140" t="s">
        <v>178</v>
      </c>
      <c r="E27" s="140"/>
      <c r="F27" s="139" t="s">
        <v>179</v>
      </c>
      <c r="G27" s="142" t="n">
        <v>0.672</v>
      </c>
      <c r="H27" s="142" t="n">
        <v>0</v>
      </c>
    </row>
    <row r="28" customFormat="false" ht="15" hidden="false" customHeight="false" outlineLevel="0" collapsed="false">
      <c r="A28" s="174"/>
      <c r="B28" s="174"/>
      <c r="C28" s="174"/>
      <c r="D28" s="175" t="s">
        <v>643</v>
      </c>
      <c r="E28" s="176"/>
      <c r="F28" s="176"/>
      <c r="G28" s="178" t="n">
        <v>0.611</v>
      </c>
      <c r="H28" s="174"/>
    </row>
    <row r="29" customFormat="false" ht="15" hidden="false" customHeight="false" outlineLevel="0" collapsed="false">
      <c r="A29" s="139"/>
      <c r="B29" s="139"/>
      <c r="C29" s="139"/>
      <c r="D29" s="175" t="s">
        <v>644</v>
      </c>
      <c r="E29" s="176"/>
      <c r="F29" s="176"/>
      <c r="G29" s="178" t="n">
        <v>0.061</v>
      </c>
      <c r="H29" s="143"/>
    </row>
    <row r="30" customFormat="false" ht="15" hidden="false" customHeight="true" outlineLevel="0" collapsed="false">
      <c r="A30" s="134" t="s">
        <v>181</v>
      </c>
      <c r="B30" s="134" t="s">
        <v>104</v>
      </c>
      <c r="C30" s="134" t="s">
        <v>182</v>
      </c>
      <c r="D30" s="135" t="s">
        <v>183</v>
      </c>
      <c r="E30" s="135"/>
      <c r="F30" s="134" t="s">
        <v>179</v>
      </c>
      <c r="G30" s="137" t="n">
        <v>0.611</v>
      </c>
      <c r="H30" s="137" t="n">
        <v>0</v>
      </c>
    </row>
    <row r="31" customFormat="false" ht="15" hidden="false" customHeight="false" outlineLevel="0" collapsed="false">
      <c r="A31" s="174"/>
      <c r="B31" s="174"/>
      <c r="C31" s="174"/>
      <c r="D31" s="175" t="s">
        <v>643</v>
      </c>
      <c r="E31" s="176"/>
      <c r="F31" s="176"/>
      <c r="G31" s="177" t="n">
        <v>0.611</v>
      </c>
      <c r="H31" s="174"/>
    </row>
    <row r="32" customFormat="false" ht="15" hidden="false" customHeight="true" outlineLevel="0" collapsed="false">
      <c r="A32" s="134" t="s">
        <v>186</v>
      </c>
      <c r="B32" s="134" t="s">
        <v>104</v>
      </c>
      <c r="C32" s="134" t="s">
        <v>187</v>
      </c>
      <c r="D32" s="135" t="s">
        <v>188</v>
      </c>
      <c r="E32" s="135"/>
      <c r="F32" s="134" t="s">
        <v>189</v>
      </c>
      <c r="G32" s="137" t="n">
        <v>0.681</v>
      </c>
      <c r="H32" s="137" t="n">
        <v>0</v>
      </c>
    </row>
    <row r="33" customFormat="false" ht="15" hidden="false" customHeight="false" outlineLevel="0" collapsed="false">
      <c r="A33" s="174"/>
      <c r="B33" s="174"/>
      <c r="C33" s="174"/>
      <c r="D33" s="175" t="s">
        <v>645</v>
      </c>
      <c r="E33" s="176" t="s">
        <v>646</v>
      </c>
      <c r="F33" s="176"/>
      <c r="G33" s="177" t="n">
        <v>0.681</v>
      </c>
      <c r="H33" s="174"/>
    </row>
    <row r="34" customFormat="false" ht="15" hidden="false" customHeight="true" outlineLevel="0" collapsed="false">
      <c r="A34" s="134" t="s">
        <v>192</v>
      </c>
      <c r="B34" s="134" t="s">
        <v>104</v>
      </c>
      <c r="C34" s="134" t="s">
        <v>193</v>
      </c>
      <c r="D34" s="135" t="s">
        <v>194</v>
      </c>
      <c r="E34" s="135"/>
      <c r="F34" s="134" t="s">
        <v>189</v>
      </c>
      <c r="G34" s="137" t="n">
        <v>1.024</v>
      </c>
      <c r="H34" s="137" t="n">
        <v>0</v>
      </c>
    </row>
    <row r="35" customFormat="false" ht="15" hidden="false" customHeight="false" outlineLevel="0" collapsed="false">
      <c r="A35" s="174"/>
      <c r="B35" s="174"/>
      <c r="C35" s="174"/>
      <c r="D35" s="175" t="s">
        <v>647</v>
      </c>
      <c r="E35" s="176" t="s">
        <v>648</v>
      </c>
      <c r="F35" s="176"/>
      <c r="G35" s="177" t="n">
        <v>0.96</v>
      </c>
      <c r="H35" s="174"/>
    </row>
    <row r="36" customFormat="false" ht="15" hidden="false" customHeight="false" outlineLevel="0" collapsed="false">
      <c r="A36" s="134"/>
      <c r="B36" s="134"/>
      <c r="C36" s="134"/>
      <c r="D36" s="175" t="s">
        <v>649</v>
      </c>
      <c r="E36" s="176" t="s">
        <v>650</v>
      </c>
      <c r="F36" s="176"/>
      <c r="G36" s="177" t="n">
        <v>0.064</v>
      </c>
      <c r="H36" s="138"/>
    </row>
    <row r="37" customFormat="false" ht="15" hidden="false" customHeight="true" outlineLevel="0" collapsed="false">
      <c r="A37" s="134" t="s">
        <v>149</v>
      </c>
      <c r="B37" s="134" t="s">
        <v>104</v>
      </c>
      <c r="C37" s="134" t="s">
        <v>195</v>
      </c>
      <c r="D37" s="135" t="s">
        <v>196</v>
      </c>
      <c r="E37" s="135"/>
      <c r="F37" s="134" t="s">
        <v>189</v>
      </c>
      <c r="G37" s="137" t="n">
        <v>0.51</v>
      </c>
      <c r="H37" s="137" t="n">
        <v>0</v>
      </c>
    </row>
    <row r="38" customFormat="false" ht="15" hidden="false" customHeight="false" outlineLevel="0" collapsed="false">
      <c r="A38" s="174"/>
      <c r="B38" s="174"/>
      <c r="C38" s="174"/>
      <c r="D38" s="175" t="s">
        <v>651</v>
      </c>
      <c r="E38" s="176" t="s">
        <v>652</v>
      </c>
      <c r="F38" s="176"/>
      <c r="G38" s="177" t="n">
        <v>0.15</v>
      </c>
      <c r="H38" s="174"/>
    </row>
    <row r="39" customFormat="false" ht="15" hidden="false" customHeight="false" outlineLevel="0" collapsed="false">
      <c r="A39" s="134"/>
      <c r="B39" s="134"/>
      <c r="C39" s="134"/>
      <c r="D39" s="175" t="s">
        <v>653</v>
      </c>
      <c r="E39" s="176" t="s">
        <v>654</v>
      </c>
      <c r="F39" s="176"/>
      <c r="G39" s="177" t="n">
        <v>0.36</v>
      </c>
      <c r="H39" s="138"/>
    </row>
    <row r="40" customFormat="false" ht="15" hidden="false" customHeight="true" outlineLevel="0" collapsed="false">
      <c r="A40" s="134" t="s">
        <v>199</v>
      </c>
      <c r="B40" s="134" t="s">
        <v>104</v>
      </c>
      <c r="C40" s="134" t="s">
        <v>200</v>
      </c>
      <c r="D40" s="135" t="s">
        <v>201</v>
      </c>
      <c r="E40" s="135"/>
      <c r="F40" s="134" t="s">
        <v>202</v>
      </c>
      <c r="G40" s="137" t="n">
        <v>210.3</v>
      </c>
      <c r="H40" s="137" t="n">
        <v>0</v>
      </c>
    </row>
    <row r="41" customFormat="false" ht="15" hidden="false" customHeight="false" outlineLevel="0" collapsed="false">
      <c r="A41" s="174"/>
      <c r="B41" s="174"/>
      <c r="C41" s="174"/>
      <c r="D41" s="175" t="s">
        <v>655</v>
      </c>
      <c r="E41" s="176"/>
      <c r="F41" s="176"/>
      <c r="G41" s="177" t="n">
        <v>210.3</v>
      </c>
      <c r="H41" s="174"/>
    </row>
    <row r="42" customFormat="false" ht="15" hidden="false" customHeight="true" outlineLevel="0" collapsed="false">
      <c r="A42" s="134" t="s">
        <v>206</v>
      </c>
      <c r="B42" s="134" t="s">
        <v>104</v>
      </c>
      <c r="C42" s="134" t="s">
        <v>207</v>
      </c>
      <c r="D42" s="135" t="s">
        <v>208</v>
      </c>
      <c r="E42" s="135"/>
      <c r="F42" s="134" t="s">
        <v>179</v>
      </c>
      <c r="G42" s="137" t="n">
        <v>8.89</v>
      </c>
      <c r="H42" s="137" t="n">
        <v>0</v>
      </c>
    </row>
    <row r="43" customFormat="false" ht="15" hidden="false" customHeight="false" outlineLevel="0" collapsed="false">
      <c r="A43" s="174"/>
      <c r="B43" s="174"/>
      <c r="C43" s="174"/>
      <c r="D43" s="175" t="s">
        <v>656</v>
      </c>
      <c r="E43" s="176"/>
      <c r="F43" s="176"/>
      <c r="G43" s="177" t="n">
        <v>8.89</v>
      </c>
      <c r="H43" s="174"/>
    </row>
    <row r="44" customFormat="false" ht="15" hidden="false" customHeight="true" outlineLevel="0" collapsed="false">
      <c r="A44" s="134" t="s">
        <v>210</v>
      </c>
      <c r="B44" s="134" t="s">
        <v>104</v>
      </c>
      <c r="C44" s="134" t="s">
        <v>211</v>
      </c>
      <c r="D44" s="135" t="s">
        <v>212</v>
      </c>
      <c r="E44" s="135"/>
      <c r="F44" s="134" t="s">
        <v>179</v>
      </c>
      <c r="G44" s="137" t="n">
        <v>17.78</v>
      </c>
      <c r="H44" s="137" t="n">
        <v>0</v>
      </c>
    </row>
    <row r="45" customFormat="false" ht="15" hidden="false" customHeight="false" outlineLevel="0" collapsed="false">
      <c r="A45" s="174"/>
      <c r="B45" s="174"/>
      <c r="C45" s="174"/>
      <c r="D45" s="175" t="s">
        <v>657</v>
      </c>
      <c r="E45" s="176"/>
      <c r="F45" s="176"/>
      <c r="G45" s="177" t="n">
        <v>17.78</v>
      </c>
      <c r="H45" s="174"/>
    </row>
    <row r="46" customFormat="false" ht="15" hidden="false" customHeight="true" outlineLevel="0" collapsed="false">
      <c r="A46" s="134" t="s">
        <v>213</v>
      </c>
      <c r="B46" s="134" t="s">
        <v>104</v>
      </c>
      <c r="C46" s="134" t="s">
        <v>214</v>
      </c>
      <c r="D46" s="135" t="s">
        <v>215</v>
      </c>
      <c r="E46" s="135"/>
      <c r="F46" s="134" t="s">
        <v>179</v>
      </c>
      <c r="G46" s="137" t="n">
        <v>10.331</v>
      </c>
      <c r="H46" s="137" t="n">
        <v>0</v>
      </c>
    </row>
    <row r="47" customFormat="false" ht="15" hidden="false" customHeight="false" outlineLevel="0" collapsed="false">
      <c r="A47" s="174"/>
      <c r="B47" s="174"/>
      <c r="C47" s="174"/>
      <c r="D47" s="175" t="s">
        <v>658</v>
      </c>
      <c r="E47" s="176"/>
      <c r="F47" s="176"/>
      <c r="G47" s="177" t="n">
        <v>10.331</v>
      </c>
      <c r="H47" s="174"/>
    </row>
    <row r="48" customFormat="false" ht="15" hidden="false" customHeight="true" outlineLevel="0" collapsed="false">
      <c r="A48" s="134" t="s">
        <v>216</v>
      </c>
      <c r="B48" s="134" t="s">
        <v>104</v>
      </c>
      <c r="C48" s="134" t="s">
        <v>217</v>
      </c>
      <c r="D48" s="135" t="s">
        <v>218</v>
      </c>
      <c r="E48" s="135"/>
      <c r="F48" s="134" t="s">
        <v>179</v>
      </c>
      <c r="G48" s="137" t="n">
        <v>10.331</v>
      </c>
      <c r="H48" s="137" t="n">
        <v>0</v>
      </c>
    </row>
    <row r="49" customFormat="false" ht="15" hidden="false" customHeight="false" outlineLevel="0" collapsed="false">
      <c r="A49" s="174"/>
      <c r="B49" s="174"/>
      <c r="C49" s="174"/>
      <c r="D49" s="175" t="s">
        <v>659</v>
      </c>
      <c r="E49" s="176"/>
      <c r="F49" s="176"/>
      <c r="G49" s="177" t="n">
        <v>10.331</v>
      </c>
      <c r="H49" s="174"/>
    </row>
    <row r="50" customFormat="false" ht="15" hidden="false" customHeight="true" outlineLevel="0" collapsed="false">
      <c r="A50" s="134" t="s">
        <v>219</v>
      </c>
      <c r="B50" s="134" t="s">
        <v>104</v>
      </c>
      <c r="C50" s="134" t="s">
        <v>220</v>
      </c>
      <c r="D50" s="135" t="s">
        <v>221</v>
      </c>
      <c r="E50" s="135"/>
      <c r="F50" s="134" t="s">
        <v>179</v>
      </c>
      <c r="G50" s="137" t="n">
        <v>154.965</v>
      </c>
      <c r="H50" s="137" t="n">
        <v>0</v>
      </c>
    </row>
    <row r="51" customFormat="false" ht="15" hidden="false" customHeight="false" outlineLevel="0" collapsed="false">
      <c r="A51" s="174"/>
      <c r="B51" s="174"/>
      <c r="C51" s="174"/>
      <c r="D51" s="175" t="s">
        <v>660</v>
      </c>
      <c r="E51" s="176"/>
      <c r="F51" s="176"/>
      <c r="G51" s="177" t="n">
        <v>154.965</v>
      </c>
      <c r="H51" s="174"/>
    </row>
    <row r="52" customFormat="false" ht="15" hidden="false" customHeight="true" outlineLevel="0" collapsed="false">
      <c r="A52" s="134" t="s">
        <v>222</v>
      </c>
      <c r="B52" s="134" t="s">
        <v>104</v>
      </c>
      <c r="C52" s="134" t="s">
        <v>223</v>
      </c>
      <c r="D52" s="135" t="s">
        <v>224</v>
      </c>
      <c r="E52" s="135"/>
      <c r="F52" s="134" t="s">
        <v>179</v>
      </c>
      <c r="G52" s="137" t="n">
        <v>0.8</v>
      </c>
      <c r="H52" s="137" t="n">
        <v>0</v>
      </c>
    </row>
    <row r="53" customFormat="false" ht="15" hidden="false" customHeight="false" outlineLevel="0" collapsed="false">
      <c r="A53" s="174"/>
      <c r="B53" s="174"/>
      <c r="C53" s="174"/>
      <c r="D53" s="175" t="s">
        <v>661</v>
      </c>
      <c r="E53" s="176"/>
      <c r="F53" s="176"/>
      <c r="G53" s="177" t="n">
        <v>0.8</v>
      </c>
      <c r="H53" s="174"/>
    </row>
    <row r="54" customFormat="false" ht="15" hidden="false" customHeight="true" outlineLevel="0" collapsed="false">
      <c r="A54" s="134" t="s">
        <v>225</v>
      </c>
      <c r="B54" s="134" t="s">
        <v>104</v>
      </c>
      <c r="C54" s="134" t="s">
        <v>226</v>
      </c>
      <c r="D54" s="135" t="s">
        <v>227</v>
      </c>
      <c r="E54" s="135"/>
      <c r="F54" s="134" t="s">
        <v>179</v>
      </c>
      <c r="G54" s="137" t="n">
        <v>0.672</v>
      </c>
      <c r="H54" s="137" t="n">
        <v>0</v>
      </c>
    </row>
    <row r="55" customFormat="false" ht="15" hidden="false" customHeight="false" outlineLevel="0" collapsed="false">
      <c r="A55" s="174"/>
      <c r="B55" s="174"/>
      <c r="C55" s="174"/>
      <c r="D55" s="175" t="s">
        <v>662</v>
      </c>
      <c r="E55" s="176"/>
      <c r="F55" s="176"/>
      <c r="G55" s="177" t="n">
        <v>0.672</v>
      </c>
      <c r="H55" s="174"/>
    </row>
    <row r="56" customFormat="false" ht="24.05" hidden="false" customHeight="true" outlineLevel="0" collapsed="false">
      <c r="A56" s="134" t="s">
        <v>228</v>
      </c>
      <c r="B56" s="134" t="s">
        <v>104</v>
      </c>
      <c r="C56" s="134" t="s">
        <v>229</v>
      </c>
      <c r="D56" s="135" t="s">
        <v>230</v>
      </c>
      <c r="E56" s="135"/>
      <c r="F56" s="134" t="s">
        <v>179</v>
      </c>
      <c r="G56" s="137" t="n">
        <v>7.988</v>
      </c>
      <c r="H56" s="137" t="n">
        <v>0</v>
      </c>
    </row>
    <row r="57" customFormat="false" ht="15" hidden="false" customHeight="false" outlineLevel="0" collapsed="false">
      <c r="A57" s="174"/>
      <c r="B57" s="174"/>
      <c r="C57" s="174"/>
      <c r="D57" s="175" t="s">
        <v>663</v>
      </c>
      <c r="E57" s="176"/>
      <c r="F57" s="176"/>
      <c r="G57" s="177" t="n">
        <v>7.988</v>
      </c>
      <c r="H57" s="174"/>
    </row>
    <row r="58" customFormat="false" ht="15" hidden="false" customHeight="true" outlineLevel="0" collapsed="false">
      <c r="A58" s="134" t="s">
        <v>231</v>
      </c>
      <c r="B58" s="134" t="s">
        <v>104</v>
      </c>
      <c r="C58" s="134" t="s">
        <v>232</v>
      </c>
      <c r="D58" s="135" t="s">
        <v>233</v>
      </c>
      <c r="E58" s="135"/>
      <c r="F58" s="134" t="s">
        <v>179</v>
      </c>
      <c r="G58" s="137" t="n">
        <v>0.87</v>
      </c>
      <c r="H58" s="137" t="n">
        <v>0</v>
      </c>
    </row>
    <row r="59" customFormat="false" ht="15" hidden="false" customHeight="false" outlineLevel="0" collapsed="false">
      <c r="A59" s="174"/>
      <c r="B59" s="174"/>
      <c r="C59" s="174"/>
      <c r="D59" s="175" t="s">
        <v>664</v>
      </c>
      <c r="E59" s="176"/>
      <c r="F59" s="176"/>
      <c r="G59" s="177" t="n">
        <v>0.87</v>
      </c>
      <c r="H59" s="174"/>
    </row>
    <row r="61" customFormat="false" ht="15" hidden="false" customHeight="false" outlineLevel="0" collapsed="false">
      <c r="A61" s="1"/>
    </row>
    <row r="62" customFormat="false" ht="15" hidden="true" customHeight="false" outlineLevel="0" collapsed="false">
      <c r="A62" s="9"/>
      <c r="B62" s="9"/>
      <c r="C62" s="9"/>
      <c r="D62" s="9"/>
      <c r="E62" s="9"/>
      <c r="F62" s="9"/>
      <c r="G62" s="9"/>
    </row>
  </sheetData>
  <mergeCells count="68">
    <mergeCell ref="A1:H1"/>
    <mergeCell ref="A2:B3"/>
    <mergeCell ref="C2:D3"/>
    <mergeCell ref="E2:E3"/>
    <mergeCell ref="F2:H3"/>
    <mergeCell ref="A4:B5"/>
    <mergeCell ref="C4:D5"/>
    <mergeCell ref="E4:E5"/>
    <mergeCell ref="F4:H5"/>
    <mergeCell ref="A6:B7"/>
    <mergeCell ref="C6:D7"/>
    <mergeCell ref="E6:E7"/>
    <mergeCell ref="F6:H7"/>
    <mergeCell ref="A8:B9"/>
    <mergeCell ref="C8:D9"/>
    <mergeCell ref="E8:E9"/>
    <mergeCell ref="F8:H9"/>
    <mergeCell ref="D10:E10"/>
    <mergeCell ref="D11:E11"/>
    <mergeCell ref="D12:E12"/>
    <mergeCell ref="D13:E13"/>
    <mergeCell ref="D14:E14"/>
    <mergeCell ref="D15:E15"/>
    <mergeCell ref="E16:F16"/>
    <mergeCell ref="D17:E17"/>
    <mergeCell ref="E18:F18"/>
    <mergeCell ref="D19:E19"/>
    <mergeCell ref="E20:F20"/>
    <mergeCell ref="D21:E21"/>
    <mergeCell ref="E22:F22"/>
    <mergeCell ref="D23:E23"/>
    <mergeCell ref="E24:F24"/>
    <mergeCell ref="D25:E25"/>
    <mergeCell ref="E26:F26"/>
    <mergeCell ref="D27:E27"/>
    <mergeCell ref="E28:F28"/>
    <mergeCell ref="E29:F29"/>
    <mergeCell ref="D30:E30"/>
    <mergeCell ref="E31:F31"/>
    <mergeCell ref="D32:E32"/>
    <mergeCell ref="E33:F33"/>
    <mergeCell ref="D34:E34"/>
    <mergeCell ref="E35:F35"/>
    <mergeCell ref="E36:F36"/>
    <mergeCell ref="D37:E37"/>
    <mergeCell ref="E38:F38"/>
    <mergeCell ref="E39:F39"/>
    <mergeCell ref="D40:E40"/>
    <mergeCell ref="E41:F41"/>
    <mergeCell ref="D42:E42"/>
    <mergeCell ref="E43:F43"/>
    <mergeCell ref="D44:E44"/>
    <mergeCell ref="E45:F45"/>
    <mergeCell ref="D46:E46"/>
    <mergeCell ref="E47:F47"/>
    <mergeCell ref="D48:E48"/>
    <mergeCell ref="E49:F49"/>
    <mergeCell ref="D50:E50"/>
    <mergeCell ref="E51:F51"/>
    <mergeCell ref="D52:E52"/>
    <mergeCell ref="E53:F53"/>
    <mergeCell ref="D54:E54"/>
    <mergeCell ref="E55:F55"/>
    <mergeCell ref="D56:E56"/>
    <mergeCell ref="E57:F57"/>
    <mergeCell ref="D58:E58"/>
    <mergeCell ref="E59:F59"/>
    <mergeCell ref="A62:G62"/>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2979FF"/>
    <pageSetUpPr fitToPage="true"/>
  </sheetPr>
  <dimension ref="A1:I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1484375" defaultRowHeight="15" customHeight="true" zeroHeight="false" outlineLevelRow="0" outlineLevelCol="0"/>
  <cols>
    <col collapsed="false" customWidth="true" hidden="false" outlineLevel="0" max="1" min="1" style="22" width="16.69"/>
    <col collapsed="false" customWidth="true" hidden="false" outlineLevel="0" max="2" min="2" style="22" width="12.86"/>
    <col collapsed="false" customWidth="true" hidden="false" outlineLevel="0" max="3" min="3" style="22" width="27.15"/>
    <col collapsed="false" customWidth="true" hidden="false" outlineLevel="0" max="4" min="4" style="22" width="18.54"/>
    <col collapsed="false" customWidth="true" hidden="false" outlineLevel="0" max="5" min="5" style="22" width="14"/>
    <col collapsed="false" customWidth="true" hidden="false" outlineLevel="0" max="6" min="6" style="22" width="27.15"/>
    <col collapsed="false" customWidth="true" hidden="false" outlineLevel="0" max="7" min="7" style="22" width="17.56"/>
    <col collapsed="false" customWidth="true" hidden="false" outlineLevel="0" max="8" min="8" style="22" width="12.86"/>
    <col collapsed="false" customWidth="true" hidden="false" outlineLevel="0" max="9" min="9" style="22" width="27.15"/>
  </cols>
  <sheetData>
    <row r="1" customFormat="false" ht="39.7" hidden="false" customHeight="true" outlineLevel="0" collapsed="false">
      <c r="A1" s="24" t="s">
        <v>781</v>
      </c>
      <c r="B1" s="24"/>
      <c r="C1" s="24"/>
      <c r="D1" s="24"/>
      <c r="E1" s="24"/>
      <c r="F1" s="24"/>
      <c r="G1" s="24"/>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39</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2" customFormat="false" ht="22.05" hidden="false" customHeight="false" outlineLevel="0" collapsed="false">
      <c r="A12" s="25" t="s">
        <v>32</v>
      </c>
      <c r="B12" s="25"/>
      <c r="C12" s="25"/>
      <c r="D12" s="25"/>
      <c r="E12" s="25"/>
      <c r="F12" s="25"/>
      <c r="G12" s="25"/>
      <c r="H12" s="25"/>
      <c r="I12" s="25"/>
    </row>
    <row r="13" customFormat="false" ht="26.25" hidden="false" customHeight="true" outlineLevel="0" collapsed="false">
      <c r="A13" s="26" t="s">
        <v>33</v>
      </c>
      <c r="B13" s="27" t="s">
        <v>34</v>
      </c>
      <c r="C13" s="27"/>
      <c r="D13" s="28" t="s">
        <v>35</v>
      </c>
      <c r="E13" s="27" t="s">
        <v>36</v>
      </c>
      <c r="F13" s="27"/>
      <c r="G13" s="28" t="s">
        <v>775</v>
      </c>
      <c r="H13" s="27" t="s">
        <v>82</v>
      </c>
      <c r="I13" s="27"/>
    </row>
    <row r="14" customFormat="false" ht="15" hidden="false" customHeight="false" outlineLevel="0" collapsed="false">
      <c r="A14" s="29" t="s">
        <v>37</v>
      </c>
      <c r="B14" s="30" t="s">
        <v>38</v>
      </c>
      <c r="C14" s="31" t="n">
        <f aca="false">SUM('Stavební rozpočet (SO01.11)'!AB12:AB374)</f>
        <v>0</v>
      </c>
      <c r="D14" s="30" t="s">
        <v>39</v>
      </c>
      <c r="E14" s="30"/>
      <c r="F14" s="31" t="n">
        <f aca="false">'VORN objektu (SO01.11)'!I15</f>
        <v>0</v>
      </c>
      <c r="G14" s="30" t="s">
        <v>83</v>
      </c>
      <c r="H14" s="30"/>
      <c r="I14" s="31" t="n">
        <f aca="false">'VORN objektu (SO01.11)'!I21</f>
        <v>0</v>
      </c>
    </row>
    <row r="15" customFormat="false" ht="15" hidden="false" customHeight="false" outlineLevel="0" collapsed="false">
      <c r="A15" s="32"/>
      <c r="B15" s="30" t="s">
        <v>40</v>
      </c>
      <c r="C15" s="31" t="n">
        <f aca="false">SUM('Stavební rozpočet (SO01.11)'!AC12:AC374)</f>
        <v>0</v>
      </c>
      <c r="D15" s="30" t="s">
        <v>41</v>
      </c>
      <c r="E15" s="30"/>
      <c r="F15" s="31" t="n">
        <f aca="false">'VORN objektu (SO01.11)'!I16</f>
        <v>0</v>
      </c>
      <c r="G15" s="30" t="s">
        <v>84</v>
      </c>
      <c r="H15" s="30"/>
      <c r="I15" s="31" t="n">
        <f aca="false">'VORN objektu (SO01.11)'!I22</f>
        <v>0</v>
      </c>
    </row>
    <row r="16" customFormat="false" ht="15" hidden="false" customHeight="false" outlineLevel="0" collapsed="false">
      <c r="A16" s="29" t="s">
        <v>42</v>
      </c>
      <c r="B16" s="30" t="s">
        <v>38</v>
      </c>
      <c r="C16" s="31" t="n">
        <f aca="false">SUM('Stavební rozpočet (SO01.11)'!AD12:AD374)</f>
        <v>0</v>
      </c>
      <c r="D16" s="30" t="s">
        <v>43</v>
      </c>
      <c r="E16" s="30"/>
      <c r="F16" s="31" t="n">
        <f aca="false">'VORN objektu (SO01.11)'!I17</f>
        <v>0</v>
      </c>
      <c r="G16" s="30" t="s">
        <v>85</v>
      </c>
      <c r="H16" s="30"/>
      <c r="I16" s="31" t="n">
        <f aca="false">'VORN objektu (SO01.11)'!I23</f>
        <v>0</v>
      </c>
    </row>
    <row r="17" customFormat="false" ht="15" hidden="false" customHeight="false" outlineLevel="0" collapsed="false">
      <c r="A17" s="32"/>
      <c r="B17" s="30" t="s">
        <v>40</v>
      </c>
      <c r="C17" s="31" t="n">
        <f aca="false">SUM('Stavební rozpočet (SO01.11)'!AE12:AE374)</f>
        <v>0</v>
      </c>
      <c r="D17" s="30"/>
      <c r="E17" s="30"/>
      <c r="F17" s="33"/>
      <c r="G17" s="30" t="s">
        <v>86</v>
      </c>
      <c r="H17" s="30"/>
      <c r="I17" s="31" t="n">
        <f aca="false">'VORN objektu (SO01.11)'!I24</f>
        <v>0</v>
      </c>
    </row>
    <row r="18" customFormat="false" ht="15" hidden="false" customHeight="false" outlineLevel="0" collapsed="false">
      <c r="A18" s="29" t="s">
        <v>44</v>
      </c>
      <c r="B18" s="30" t="s">
        <v>38</v>
      </c>
      <c r="C18" s="31" t="n">
        <f aca="false">SUM('Stavební rozpočet (SO01.11)'!AF12:AF374)</f>
        <v>0</v>
      </c>
      <c r="D18" s="30"/>
      <c r="E18" s="30"/>
      <c r="F18" s="33"/>
      <c r="G18" s="30" t="s">
        <v>87</v>
      </c>
      <c r="H18" s="30"/>
      <c r="I18" s="31" t="n">
        <f aca="false">'VORN objektu (SO01.11)'!I25</f>
        <v>0</v>
      </c>
    </row>
    <row r="19" customFormat="false" ht="15" hidden="false" customHeight="false" outlineLevel="0" collapsed="false">
      <c r="A19" s="32"/>
      <c r="B19" s="30" t="s">
        <v>40</v>
      </c>
      <c r="C19" s="31" t="n">
        <f aca="false">SUM('Stavební rozpočet (SO01.11)'!AG12:AG374)</f>
        <v>0</v>
      </c>
      <c r="D19" s="30"/>
      <c r="E19" s="30"/>
      <c r="F19" s="33"/>
      <c r="G19" s="30" t="s">
        <v>88</v>
      </c>
      <c r="H19" s="30"/>
      <c r="I19" s="31" t="n">
        <f aca="false">'VORN objektu (SO01.11)'!I26</f>
        <v>0</v>
      </c>
    </row>
    <row r="20" customFormat="false" ht="15" hidden="false" customHeight="false" outlineLevel="0" collapsed="false">
      <c r="A20" s="32" t="s">
        <v>45</v>
      </c>
      <c r="B20" s="32"/>
      <c r="C20" s="31" t="n">
        <f aca="false">SUM('Stavební rozpočet (SO01.11)'!AH12:AH374)</f>
        <v>0</v>
      </c>
      <c r="D20" s="30"/>
      <c r="E20" s="30"/>
      <c r="F20" s="33"/>
      <c r="G20" s="30"/>
      <c r="H20" s="30"/>
      <c r="I20" s="33"/>
    </row>
    <row r="21" customFormat="false" ht="15" hidden="false" customHeight="false" outlineLevel="0" collapsed="false">
      <c r="A21" s="29" t="s">
        <v>46</v>
      </c>
      <c r="B21" s="29"/>
      <c r="C21" s="34" t="n">
        <f aca="false">SUM('Stavební rozpočet (SO01.11)'!Z12:Z374)</f>
        <v>0</v>
      </c>
      <c r="D21" s="35"/>
      <c r="E21" s="35"/>
      <c r="F21" s="36"/>
      <c r="G21" s="35"/>
      <c r="H21" s="35"/>
      <c r="I21" s="36"/>
    </row>
    <row r="22" customFormat="false" ht="16.5" hidden="false" customHeight="true" outlineLevel="0" collapsed="false">
      <c r="A22" s="37" t="s">
        <v>47</v>
      </c>
      <c r="B22" s="37"/>
      <c r="C22" s="38" t="n">
        <f aca="false">ROUND(SUM(C14:C21),1)</f>
        <v>0</v>
      </c>
      <c r="D22" s="39" t="s">
        <v>48</v>
      </c>
      <c r="E22" s="39"/>
      <c r="F22" s="38" t="n">
        <f aca="false">SUM(F14:F21)</f>
        <v>0</v>
      </c>
      <c r="G22" s="39" t="s">
        <v>776</v>
      </c>
      <c r="H22" s="39"/>
      <c r="I22" s="38" t="n">
        <f aca="false">SUM(I14:I21)</f>
        <v>0</v>
      </c>
    </row>
    <row r="23" customFormat="false" ht="15" hidden="false" customHeight="false" outlineLevel="0" collapsed="false">
      <c r="G23" s="32" t="s">
        <v>777</v>
      </c>
      <c r="H23" s="32"/>
      <c r="I23" s="31" t="n">
        <f aca="false">'VORN objektu (SO01.11)'!I36</f>
        <v>0</v>
      </c>
    </row>
    <row r="25" customFormat="false" ht="15" hidden="false" customHeight="false" outlineLevel="0" collapsed="false">
      <c r="A25" s="41" t="s">
        <v>50</v>
      </c>
      <c r="B25" s="41"/>
      <c r="C25" s="42" t="n">
        <f aca="false">ROUND(SUM('Stavební rozpočet (SO01.11)'!AJ12:AJ374),1)</f>
        <v>0</v>
      </c>
      <c r="D25" s="43"/>
      <c r="E25" s="43"/>
      <c r="F25" s="43"/>
      <c r="G25" s="43"/>
      <c r="H25" s="43"/>
      <c r="I25" s="43"/>
    </row>
    <row r="26" customFormat="false" ht="15" hidden="false" customHeight="false" outlineLevel="0" collapsed="false">
      <c r="A26" s="44" t="s">
        <v>51</v>
      </c>
      <c r="B26" s="44"/>
      <c r="C26" s="45" t="n">
        <f aca="false">ROUND(SUM('Stavební rozpočet (SO01.11)'!AK12:AK374),1)</f>
        <v>0</v>
      </c>
      <c r="D26" s="46" t="s">
        <v>52</v>
      </c>
      <c r="E26" s="46"/>
      <c r="F26" s="42" t="n">
        <f aca="false">ROUND(C26*(12/100),2)</f>
        <v>0</v>
      </c>
      <c r="G26" s="46" t="s">
        <v>53</v>
      </c>
      <c r="H26" s="46"/>
      <c r="I26" s="42" t="n">
        <f aca="false">ROUND(SUM(C25:C27),1)</f>
        <v>0</v>
      </c>
    </row>
    <row r="27" customFormat="false" ht="15" hidden="false" customHeight="false" outlineLevel="0" collapsed="false">
      <c r="A27" s="44" t="s">
        <v>54</v>
      </c>
      <c r="B27" s="44"/>
      <c r="C27" s="45" t="n">
        <f aca="false">ROUND(SUM('Stavební rozpočet (SO01.11)'!AL12:AL374)+(F22+I22+F23+I23+I24),1)</f>
        <v>0</v>
      </c>
      <c r="D27" s="47" t="s">
        <v>55</v>
      </c>
      <c r="E27" s="47"/>
      <c r="F27" s="45" t="n">
        <f aca="false">ROUND(C27*(21/100),2)</f>
        <v>0</v>
      </c>
      <c r="G27" s="47" t="s">
        <v>56</v>
      </c>
      <c r="H27" s="47"/>
      <c r="I27" s="45" t="n">
        <f aca="false">ROUND(SUM(F26:F27)+I26,1)</f>
        <v>0</v>
      </c>
    </row>
    <row r="29" customFormat="false" ht="15" hidden="false" customHeight="false" outlineLevel="0" collapsed="false">
      <c r="A29" s="48" t="s">
        <v>57</v>
      </c>
      <c r="B29" s="48"/>
      <c r="C29" s="48"/>
      <c r="D29" s="49" t="s">
        <v>58</v>
      </c>
      <c r="E29" s="49"/>
      <c r="F29" s="49"/>
      <c r="G29" s="49" t="s">
        <v>59</v>
      </c>
      <c r="H29" s="49"/>
      <c r="I29" s="49"/>
    </row>
    <row r="30" customFormat="false" ht="15" hidden="false" customHeight="false" outlineLevel="0" collapsed="false">
      <c r="A30" s="50"/>
      <c r="B30" s="50"/>
      <c r="C30" s="50"/>
      <c r="D30" s="51"/>
      <c r="E30" s="51"/>
      <c r="F30" s="51"/>
      <c r="G30" s="51"/>
      <c r="H30" s="51"/>
      <c r="I30" s="51"/>
    </row>
    <row r="31" customFormat="false" ht="15" hidden="false" customHeight="false" outlineLevel="0" collapsed="false">
      <c r="A31" s="50"/>
      <c r="B31" s="50"/>
      <c r="C31" s="50"/>
      <c r="D31" s="51"/>
      <c r="E31" s="51"/>
      <c r="F31" s="51"/>
      <c r="G31" s="51"/>
      <c r="H31" s="51"/>
      <c r="I31" s="51"/>
    </row>
    <row r="32" customFormat="false" ht="15" hidden="false" customHeight="false" outlineLevel="0" collapsed="false">
      <c r="A32" s="50"/>
      <c r="B32" s="50"/>
      <c r="C32" s="50"/>
      <c r="D32" s="51"/>
      <c r="E32" s="51"/>
      <c r="F32" s="51"/>
      <c r="G32" s="51"/>
      <c r="H32" s="51"/>
      <c r="I32" s="51"/>
    </row>
    <row r="33" customFormat="false" ht="15" hidden="false" customHeight="false" outlineLevel="0" collapsed="false">
      <c r="A33" s="52" t="s">
        <v>60</v>
      </c>
      <c r="B33" s="52"/>
      <c r="C33" s="52"/>
      <c r="D33" s="53" t="s">
        <v>60</v>
      </c>
      <c r="E33" s="53"/>
      <c r="F33" s="53"/>
      <c r="G33" s="53" t="s">
        <v>60</v>
      </c>
      <c r="H33" s="53"/>
      <c r="I33" s="53"/>
    </row>
    <row r="34" customFormat="false" ht="15" hidden="false" customHeight="false" outlineLevel="0" collapsed="false">
      <c r="A34" s="1"/>
    </row>
    <row r="35" customFormat="false" ht="12.75" hidden="true" customHeight="true" outlineLevel="0" collapsed="false">
      <c r="A35" s="9"/>
      <c r="B35" s="9"/>
      <c r="C35" s="9"/>
      <c r="D35" s="9"/>
      <c r="E35" s="9"/>
      <c r="F35" s="9"/>
      <c r="G35" s="9"/>
      <c r="H35" s="9"/>
      <c r="I35" s="9"/>
    </row>
  </sheetData>
  <mergeCells count="80">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2:I12"/>
    <mergeCell ref="B13:C13"/>
    <mergeCell ref="E13:F13"/>
    <mergeCell ref="H13:I13"/>
    <mergeCell ref="D14:E14"/>
    <mergeCell ref="G14:H14"/>
    <mergeCell ref="D15:E15"/>
    <mergeCell ref="G15:H15"/>
    <mergeCell ref="D16:E16"/>
    <mergeCell ref="G16:H16"/>
    <mergeCell ref="D17:E17"/>
    <mergeCell ref="G17:H17"/>
    <mergeCell ref="D18:E18"/>
    <mergeCell ref="G18:H18"/>
    <mergeCell ref="D19:E19"/>
    <mergeCell ref="G19:H19"/>
    <mergeCell ref="A20:B20"/>
    <mergeCell ref="D20:E20"/>
    <mergeCell ref="G20:H20"/>
    <mergeCell ref="A21:B21"/>
    <mergeCell ref="D21:E21"/>
    <mergeCell ref="G21:H21"/>
    <mergeCell ref="A22:B22"/>
    <mergeCell ref="D22:E22"/>
    <mergeCell ref="G22:H22"/>
    <mergeCell ref="G23:H23"/>
    <mergeCell ref="A25:B25"/>
    <mergeCell ref="A26:B26"/>
    <mergeCell ref="D26:E26"/>
    <mergeCell ref="G26:H26"/>
    <mergeCell ref="A27:B27"/>
    <mergeCell ref="D27:E27"/>
    <mergeCell ref="G27:H27"/>
    <mergeCell ref="A29:C29"/>
    <mergeCell ref="D29:F29"/>
    <mergeCell ref="G29:I29"/>
    <mergeCell ref="A30:C30"/>
    <mergeCell ref="D30:F30"/>
    <mergeCell ref="G30:I30"/>
    <mergeCell ref="A31:C31"/>
    <mergeCell ref="D31:F31"/>
    <mergeCell ref="G31:I31"/>
    <mergeCell ref="A32:C32"/>
    <mergeCell ref="D32:F32"/>
    <mergeCell ref="G32:I32"/>
    <mergeCell ref="A33:C33"/>
    <mergeCell ref="D33:F33"/>
    <mergeCell ref="G33:I33"/>
    <mergeCell ref="A35:I35"/>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1" pageOrder="downThenOver" orientation="landscape" blackAndWhite="false" draft="false" cellComments="none" horizontalDpi="300" verticalDpi="300" copies="1"/>
  <headerFooter differentFirst="false" differentOddEven="false">
    <oddHeader/>
    <oddFooter/>
  </headerFooter>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I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6" activeCellId="0" sqref="A36"/>
    </sheetView>
  </sheetViews>
  <sheetFormatPr defaultColWidth="12.1484375" defaultRowHeight="15" customHeight="true" zeroHeight="false" outlineLevelRow="0" outlineLevelCol="0"/>
  <cols>
    <col collapsed="false" customWidth="true" hidden="false" outlineLevel="0" max="1" min="1" style="22" width="9.14"/>
    <col collapsed="false" customWidth="true" hidden="false" outlineLevel="0" max="2" min="2" style="22" width="12.86"/>
    <col collapsed="false" customWidth="true" hidden="false" outlineLevel="0" max="3" min="3" style="22" width="22.86"/>
    <col collapsed="false" customWidth="true" hidden="false" outlineLevel="0" max="4" min="4" style="22" width="10"/>
    <col collapsed="false" customWidth="true" hidden="false" outlineLevel="0" max="5" min="5" style="22" width="14"/>
    <col collapsed="false" customWidth="true" hidden="false" outlineLevel="0" max="6" min="6" style="22" width="22.86"/>
    <col collapsed="false" customWidth="true" hidden="false" outlineLevel="0" max="7" min="7" style="22" width="9.14"/>
    <col collapsed="false" customWidth="true" hidden="false" outlineLevel="0" max="8" min="8" style="22" width="17.15"/>
    <col collapsed="false" customWidth="true" hidden="false" outlineLevel="0" max="9" min="9" style="22" width="22.86"/>
  </cols>
  <sheetData>
    <row r="1" customFormat="false" ht="54.75" hidden="false" customHeight="true" outlineLevel="0" collapsed="false">
      <c r="A1" s="24" t="s">
        <v>782</v>
      </c>
      <c r="B1" s="24"/>
      <c r="C1" s="24"/>
      <c r="D1" s="24"/>
      <c r="E1" s="24"/>
      <c r="F1" s="24"/>
      <c r="G1" s="24"/>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39</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3" customFormat="false" ht="15" hidden="false" customHeight="false" outlineLevel="0" collapsed="false">
      <c r="A13" s="58" t="s">
        <v>76</v>
      </c>
      <c r="B13" s="58"/>
      <c r="C13" s="58"/>
      <c r="D13" s="58"/>
      <c r="E13" s="58"/>
    </row>
    <row r="14" customFormat="false" ht="15" hidden="false" customHeight="false" outlineLevel="0" collapsed="false">
      <c r="A14" s="59" t="s">
        <v>77</v>
      </c>
      <c r="B14" s="59"/>
      <c r="C14" s="59"/>
      <c r="D14" s="59"/>
      <c r="E14" s="59"/>
      <c r="F14" s="60" t="s">
        <v>78</v>
      </c>
      <c r="G14" s="60" t="s">
        <v>79</v>
      </c>
      <c r="H14" s="60" t="s">
        <v>80</v>
      </c>
      <c r="I14" s="60" t="s">
        <v>78</v>
      </c>
    </row>
    <row r="15" customFormat="false" ht="15" hidden="false" customHeight="false" outlineLevel="0" collapsed="false">
      <c r="A15" s="61" t="s">
        <v>39</v>
      </c>
      <c r="B15" s="61"/>
      <c r="C15" s="61"/>
      <c r="D15" s="61"/>
      <c r="E15" s="61"/>
      <c r="F15" s="62" t="n">
        <v>0</v>
      </c>
      <c r="G15" s="63"/>
      <c r="H15" s="63"/>
      <c r="I15" s="62" t="n">
        <f aca="false">F15</f>
        <v>0</v>
      </c>
    </row>
    <row r="16" customFormat="false" ht="15" hidden="false" customHeight="false" outlineLevel="0" collapsed="false">
      <c r="A16" s="61" t="s">
        <v>41</v>
      </c>
      <c r="B16" s="61"/>
      <c r="C16" s="61"/>
      <c r="D16" s="61"/>
      <c r="E16" s="61"/>
      <c r="F16" s="62" t="n">
        <v>0</v>
      </c>
      <c r="G16" s="63"/>
      <c r="H16" s="63"/>
      <c r="I16" s="62" t="n">
        <f aca="false">F16</f>
        <v>0</v>
      </c>
    </row>
    <row r="17" customFormat="false" ht="15" hidden="false" customHeight="false" outlineLevel="0" collapsed="false">
      <c r="A17" s="64" t="s">
        <v>43</v>
      </c>
      <c r="B17" s="64"/>
      <c r="C17" s="64"/>
      <c r="D17" s="64"/>
      <c r="E17" s="64"/>
      <c r="F17" s="65" t="n">
        <v>0</v>
      </c>
      <c r="G17" s="10"/>
      <c r="H17" s="10"/>
      <c r="I17" s="65" t="n">
        <f aca="false">F17</f>
        <v>0</v>
      </c>
    </row>
    <row r="18" customFormat="false" ht="15" hidden="false" customHeight="false" outlineLevel="0" collapsed="false">
      <c r="A18" s="66" t="s">
        <v>81</v>
      </c>
      <c r="B18" s="66"/>
      <c r="C18" s="66"/>
      <c r="D18" s="66"/>
      <c r="E18" s="66"/>
      <c r="F18" s="67"/>
      <c r="G18" s="68"/>
      <c r="H18" s="68"/>
      <c r="I18" s="69" t="n">
        <f aca="false">SUM(I15:I17)</f>
        <v>0</v>
      </c>
    </row>
    <row r="20" customFormat="false" ht="15" hidden="false" customHeight="false" outlineLevel="0" collapsed="false">
      <c r="A20" s="59" t="s">
        <v>82</v>
      </c>
      <c r="B20" s="59"/>
      <c r="C20" s="59"/>
      <c r="D20" s="59"/>
      <c r="E20" s="59"/>
      <c r="F20" s="60" t="s">
        <v>78</v>
      </c>
      <c r="G20" s="60" t="s">
        <v>79</v>
      </c>
      <c r="H20" s="60" t="s">
        <v>80</v>
      </c>
      <c r="I20" s="60" t="s">
        <v>78</v>
      </c>
    </row>
    <row r="21" customFormat="false" ht="15" hidden="false" customHeight="false" outlineLevel="0" collapsed="false">
      <c r="A21" s="61" t="s">
        <v>83</v>
      </c>
      <c r="B21" s="61"/>
      <c r="C21" s="61"/>
      <c r="D21" s="61"/>
      <c r="E21" s="61"/>
      <c r="F21" s="62" t="n">
        <v>0</v>
      </c>
      <c r="G21" s="63"/>
      <c r="H21" s="63"/>
      <c r="I21" s="62" t="n">
        <f aca="false">F21</f>
        <v>0</v>
      </c>
    </row>
    <row r="22" customFormat="false" ht="15" hidden="false" customHeight="false" outlineLevel="0" collapsed="false">
      <c r="A22" s="61" t="s">
        <v>84</v>
      </c>
      <c r="B22" s="61"/>
      <c r="C22" s="61"/>
      <c r="D22" s="61"/>
      <c r="E22" s="61"/>
      <c r="F22" s="62" t="n">
        <v>0</v>
      </c>
      <c r="G22" s="63"/>
      <c r="H22" s="63"/>
      <c r="I22" s="62" t="n">
        <f aca="false">F22</f>
        <v>0</v>
      </c>
    </row>
    <row r="23" customFormat="false" ht="15" hidden="false" customHeight="false" outlineLevel="0" collapsed="false">
      <c r="A23" s="61" t="s">
        <v>85</v>
      </c>
      <c r="B23" s="61"/>
      <c r="C23" s="61"/>
      <c r="D23" s="61"/>
      <c r="E23" s="61"/>
      <c r="F23" s="62" t="n">
        <v>0</v>
      </c>
      <c r="G23" s="63"/>
      <c r="H23" s="63"/>
      <c r="I23" s="62" t="n">
        <f aca="false">F23</f>
        <v>0</v>
      </c>
    </row>
    <row r="24" customFormat="false" ht="15" hidden="false" customHeight="false" outlineLevel="0" collapsed="false">
      <c r="A24" s="61" t="s">
        <v>86</v>
      </c>
      <c r="B24" s="61"/>
      <c r="C24" s="61"/>
      <c r="D24" s="61"/>
      <c r="E24" s="61"/>
      <c r="F24" s="62" t="n">
        <v>0</v>
      </c>
      <c r="G24" s="63"/>
      <c r="H24" s="63"/>
      <c r="I24" s="62" t="n">
        <f aca="false">F24</f>
        <v>0</v>
      </c>
    </row>
    <row r="25" customFormat="false" ht="15" hidden="false" customHeight="false" outlineLevel="0" collapsed="false">
      <c r="A25" s="61" t="s">
        <v>87</v>
      </c>
      <c r="B25" s="61"/>
      <c r="C25" s="61"/>
      <c r="D25" s="61"/>
      <c r="E25" s="61"/>
      <c r="F25" s="62" t="n">
        <v>0</v>
      </c>
      <c r="G25" s="63"/>
      <c r="H25" s="63"/>
      <c r="I25" s="62" t="n">
        <f aca="false">F25</f>
        <v>0</v>
      </c>
    </row>
    <row r="26" customFormat="false" ht="15" hidden="false" customHeight="false" outlineLevel="0" collapsed="false">
      <c r="A26" s="64" t="s">
        <v>88</v>
      </c>
      <c r="B26" s="64"/>
      <c r="C26" s="64"/>
      <c r="D26" s="64"/>
      <c r="E26" s="64"/>
      <c r="F26" s="65" t="n">
        <v>0</v>
      </c>
      <c r="G26" s="10"/>
      <c r="H26" s="10"/>
      <c r="I26" s="65" t="n">
        <f aca="false">F26</f>
        <v>0</v>
      </c>
    </row>
    <row r="27" customFormat="false" ht="15" hidden="false" customHeight="false" outlineLevel="0" collapsed="false">
      <c r="A27" s="66" t="s">
        <v>89</v>
      </c>
      <c r="B27" s="66"/>
      <c r="C27" s="66"/>
      <c r="D27" s="66"/>
      <c r="E27" s="66"/>
      <c r="F27" s="67"/>
      <c r="G27" s="68"/>
      <c r="H27" s="68"/>
      <c r="I27" s="69" t="n">
        <f aca="false">SUM(I21:I26)</f>
        <v>0</v>
      </c>
    </row>
    <row r="29" customFormat="false" ht="15" hidden="false" customHeight="false" outlineLevel="0" collapsed="false">
      <c r="A29" s="70" t="s">
        <v>90</v>
      </c>
      <c r="B29" s="70"/>
      <c r="C29" s="70"/>
      <c r="D29" s="70"/>
      <c r="E29" s="70"/>
      <c r="F29" s="71" t="n">
        <f aca="false">I18+I27</f>
        <v>0</v>
      </c>
      <c r="G29" s="71"/>
      <c r="H29" s="71"/>
      <c r="I29" s="71"/>
    </row>
    <row r="33" customFormat="false" ht="15" hidden="false" customHeight="false" outlineLevel="0" collapsed="false">
      <c r="A33" s="58" t="s">
        <v>91</v>
      </c>
      <c r="B33" s="58"/>
      <c r="C33" s="58"/>
      <c r="D33" s="58"/>
      <c r="E33" s="58"/>
    </row>
    <row r="34" customFormat="false" ht="15" hidden="false" customHeight="false" outlineLevel="0" collapsed="false">
      <c r="A34" s="59" t="s">
        <v>92</v>
      </c>
      <c r="B34" s="59"/>
      <c r="C34" s="59"/>
      <c r="D34" s="59"/>
      <c r="E34" s="59"/>
      <c r="F34" s="60" t="s">
        <v>78</v>
      </c>
      <c r="G34" s="60" t="s">
        <v>79</v>
      </c>
      <c r="H34" s="60" t="s">
        <v>80</v>
      </c>
      <c r="I34" s="60" t="s">
        <v>78</v>
      </c>
    </row>
    <row r="35" customFormat="false" ht="15" hidden="false" customHeight="false" outlineLevel="0" collapsed="false">
      <c r="A35" s="64"/>
      <c r="B35" s="64"/>
      <c r="C35" s="64"/>
      <c r="D35" s="64"/>
      <c r="E35" s="64"/>
      <c r="F35" s="65" t="n">
        <v>0</v>
      </c>
      <c r="G35" s="10"/>
      <c r="H35" s="10"/>
      <c r="I35" s="65" t="n">
        <f aca="false">F35</f>
        <v>0</v>
      </c>
    </row>
    <row r="36" customFormat="false" ht="15" hidden="false" customHeight="false" outlineLevel="0" collapsed="false">
      <c r="A36" s="66" t="s">
        <v>93</v>
      </c>
      <c r="B36" s="66"/>
      <c r="C36" s="66"/>
      <c r="D36" s="66"/>
      <c r="E36" s="66"/>
      <c r="F36" s="67"/>
      <c r="G36" s="68"/>
      <c r="H36" s="68"/>
      <c r="I36" s="69" t="n">
        <f aca="false">SUM(I35)</f>
        <v>0</v>
      </c>
    </row>
  </sheetData>
  <mergeCells count="51">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2979FF"/>
    <pageSetUpPr fitToPage="true"/>
  </sheetPr>
  <dimension ref="A1:BX5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12.1484375" defaultRowHeight="15" customHeight="true" zeroHeight="false" outlineLevelRow="0" outlineLevelCol="0"/>
  <cols>
    <col collapsed="false" customWidth="true" hidden="false" outlineLevel="0" max="1" min="1" style="22" width="4"/>
    <col collapsed="false" customWidth="true" hidden="false" outlineLevel="0" max="2" min="2" style="22" width="8.15"/>
    <col collapsed="false" customWidth="true" hidden="false" outlineLevel="0" max="3" min="3" style="22" width="13.87"/>
    <col collapsed="false" customWidth="true" hidden="false" outlineLevel="0" max="4" min="4" style="103" width="42.86"/>
    <col collapsed="false" customWidth="true" hidden="false" outlineLevel="0" max="5" min="5" style="22" width="25.48"/>
    <col collapsed="false" customWidth="true" hidden="false" outlineLevel="0" max="6" min="6" style="22" width="4.29"/>
    <col collapsed="false" customWidth="true" hidden="false" outlineLevel="0" max="7" min="7" style="104" width="10.19"/>
    <col collapsed="false" customWidth="true" hidden="false" outlineLevel="0" max="8" min="8" style="22" width="12"/>
    <col collapsed="false" customWidth="false" hidden="false" outlineLevel="0" max="9" min="9" style="22" width="12.15"/>
    <col collapsed="false" customWidth="true" hidden="false" outlineLevel="0" max="11" min="10" style="22" width="15.71"/>
    <col collapsed="false" customWidth="true" hidden="false" outlineLevel="0" max="12" min="12" style="22" width="8.76"/>
    <col collapsed="false" customWidth="true" hidden="false" outlineLevel="0" max="13" min="13" style="22" width="11.71"/>
    <col collapsed="false" customWidth="true" hidden="false" outlineLevel="0" max="14" min="14" style="22" width="13.42"/>
    <col collapsed="false" customWidth="false" hidden="true" outlineLevel="0" max="75" min="25" style="22" width="12.15"/>
    <col collapsed="false" customWidth="true" hidden="true" outlineLevel="0" max="76" min="76" style="22" width="78.57"/>
    <col collapsed="false" customWidth="false" hidden="true" outlineLevel="0" max="78" min="77" style="22" width="12.15"/>
  </cols>
  <sheetData>
    <row r="1" customFormat="false" ht="39.7" hidden="false" customHeight="true" outlineLevel="0" collapsed="false">
      <c r="A1" s="106" t="s">
        <v>783</v>
      </c>
      <c r="B1" s="106"/>
      <c r="C1" s="106"/>
      <c r="D1" s="106"/>
      <c r="E1" s="106"/>
      <c r="F1" s="106"/>
      <c r="G1" s="106"/>
      <c r="H1" s="106"/>
      <c r="I1" s="106"/>
      <c r="J1" s="106"/>
      <c r="K1" s="106"/>
      <c r="L1" s="106"/>
      <c r="M1" s="106"/>
      <c r="N1" s="106"/>
      <c r="AS1" s="107" t="n">
        <f aca="false">SUM(AJ1:AJ2)</f>
        <v>0</v>
      </c>
      <c r="AT1" s="107" t="n">
        <f aca="false">SUM(AK1:AK2)</f>
        <v>0</v>
      </c>
      <c r="AU1" s="107" t="n">
        <f aca="false">SUM(AL1:AL2)</f>
        <v>0</v>
      </c>
    </row>
    <row r="2" customFormat="false" ht="15" hidden="false" customHeight="true" outlineLevel="0" collapsed="false">
      <c r="A2" s="3" t="s">
        <v>1</v>
      </c>
      <c r="B2" s="3"/>
      <c r="C2" s="4" t="str">
        <f aca="false">'Stavební rozpočet'!C2</f>
        <v>Přeměna sídlištních ploch – II. Etapa _ Fontána Jablko</v>
      </c>
      <c r="D2" s="4"/>
      <c r="E2" s="108" t="s">
        <v>95</v>
      </c>
      <c r="F2" s="5" t="str">
        <f aca="false">'Stavební rozpočet'!F2</f>
        <v> </v>
      </c>
      <c r="G2" s="5"/>
      <c r="H2" s="5" t="s">
        <v>2</v>
      </c>
      <c r="I2" s="73" t="str">
        <f aca="false">'Stavební rozpočet'!I2</f>
        <v>Městská část Praha 12, Generála Šišky 2375/6, 143</v>
      </c>
      <c r="J2" s="73"/>
      <c r="K2" s="73"/>
      <c r="L2" s="73"/>
      <c r="M2" s="73"/>
      <c r="N2" s="73"/>
    </row>
    <row r="3" customFormat="false" ht="15" hidden="false" customHeight="false" outlineLevel="0" collapsed="false">
      <c r="A3" s="3"/>
      <c r="B3" s="3"/>
      <c r="C3" s="4"/>
      <c r="D3" s="4"/>
      <c r="E3" s="108"/>
      <c r="F3" s="108"/>
      <c r="G3" s="5"/>
      <c r="H3" s="5"/>
      <c r="I3" s="5"/>
      <c r="J3" s="73"/>
      <c r="K3" s="73"/>
      <c r="L3" s="73"/>
      <c r="M3" s="73"/>
      <c r="N3" s="73"/>
    </row>
    <row r="4" customFormat="false" ht="15" hidden="false" customHeight="true" outlineLevel="0" collapsed="false">
      <c r="A4" s="8" t="s">
        <v>5</v>
      </c>
      <c r="B4" s="8"/>
      <c r="C4" s="9" t="str">
        <f aca="false">'Stavební rozpočet'!C4</f>
        <v>Stavební úpravy veřejného prostranství _Fontána Jablko</v>
      </c>
      <c r="D4" s="9"/>
      <c r="E4" s="11" t="s">
        <v>10</v>
      </c>
      <c r="F4" s="9" t="str">
        <f aca="false">'Stavební rozpočet'!F4</f>
        <v> </v>
      </c>
      <c r="G4" s="9"/>
      <c r="H4" s="9" t="s">
        <v>6</v>
      </c>
      <c r="I4" s="74" t="str">
        <f aca="false">'Stavební rozpočet'!I4</f>
        <v>HUA HUA ARCHITECTS s.r.o., Porážka 459/2, 602 00 Brno</v>
      </c>
      <c r="J4" s="74"/>
      <c r="K4" s="74"/>
      <c r="L4" s="74"/>
      <c r="M4" s="74"/>
      <c r="N4" s="74"/>
    </row>
    <row r="5" customFormat="false" ht="15" hidden="false" customHeight="false" outlineLevel="0" collapsed="false">
      <c r="A5" s="8"/>
      <c r="B5" s="8"/>
      <c r="C5" s="9"/>
      <c r="D5" s="9"/>
      <c r="E5" s="11"/>
      <c r="F5" s="11"/>
      <c r="G5" s="9"/>
      <c r="H5" s="9"/>
      <c r="I5" s="9"/>
      <c r="J5" s="74"/>
      <c r="K5" s="74"/>
      <c r="L5" s="74"/>
      <c r="M5" s="74"/>
      <c r="N5" s="74"/>
    </row>
    <row r="6" customFormat="false" ht="15" hidden="false" customHeight="true" outlineLevel="0" collapsed="false">
      <c r="A6" s="8" t="s">
        <v>8</v>
      </c>
      <c r="B6" s="8"/>
      <c r="C6" s="9" t="str">
        <f aca="false">'Stavební rozpočet'!C6</f>
        <v>Praha (554782),Modřany (728616), par.č. 4400/448</v>
      </c>
      <c r="D6" s="9"/>
      <c r="E6" s="11" t="s">
        <v>11</v>
      </c>
      <c r="F6" s="9" t="str">
        <f aca="false">'Stavební rozpočet'!F6</f>
        <v> </v>
      </c>
      <c r="G6" s="9"/>
      <c r="H6" s="9" t="s">
        <v>9</v>
      </c>
      <c r="I6" s="74" t="str">
        <f aca="false">'Stavební rozpočet'!I6</f>
        <v> </v>
      </c>
      <c r="J6" s="74"/>
      <c r="K6" s="74"/>
      <c r="L6" s="74"/>
      <c r="M6" s="74"/>
      <c r="N6" s="74"/>
    </row>
    <row r="7" customFormat="false" ht="15" hidden="false" customHeight="false" outlineLevel="0" collapsed="false">
      <c r="A7" s="8"/>
      <c r="B7" s="8"/>
      <c r="C7" s="9"/>
      <c r="D7" s="9"/>
      <c r="E7" s="11"/>
      <c r="F7" s="11"/>
      <c r="G7" s="9"/>
      <c r="H7" s="9"/>
      <c r="I7" s="9"/>
      <c r="J7" s="74"/>
      <c r="K7" s="74"/>
      <c r="L7" s="74"/>
      <c r="M7" s="74"/>
      <c r="N7" s="74"/>
    </row>
    <row r="8" customFormat="false" ht="15" hidden="false" customHeight="true" outlineLevel="0" collapsed="false">
      <c r="A8" s="8" t="s">
        <v>13</v>
      </c>
      <c r="B8" s="8"/>
      <c r="C8" s="9" t="str">
        <f aca="false">'Stavební rozpočet'!C8</f>
        <v>8225733</v>
      </c>
      <c r="D8" s="9"/>
      <c r="E8" s="11" t="s">
        <v>96</v>
      </c>
      <c r="F8" s="9" t="str">
        <f aca="false">'Stavební rozpočet'!F8</f>
        <v>08.01.2026</v>
      </c>
      <c r="G8" s="9"/>
      <c r="H8" s="9" t="s">
        <v>14</v>
      </c>
      <c r="I8" s="74" t="str">
        <f aca="false">'Stavební rozpočet'!I8</f>
        <v>Bohuslav Hemala</v>
      </c>
      <c r="J8" s="74"/>
      <c r="K8" s="74"/>
      <c r="L8" s="74"/>
      <c r="M8" s="74"/>
      <c r="N8" s="74"/>
    </row>
    <row r="9" customFormat="false" ht="15" hidden="false" customHeight="false" outlineLevel="0" collapsed="false">
      <c r="A9" s="8"/>
      <c r="B9" s="8"/>
      <c r="C9" s="9"/>
      <c r="D9" s="9"/>
      <c r="E9" s="11"/>
      <c r="F9" s="11"/>
      <c r="G9" s="9"/>
      <c r="H9" s="9"/>
      <c r="I9" s="9"/>
      <c r="J9" s="74"/>
      <c r="K9" s="74"/>
      <c r="L9" s="74"/>
      <c r="M9" s="74"/>
      <c r="N9" s="74"/>
    </row>
    <row r="10" customFormat="false" ht="15" hidden="false" customHeight="true" outlineLevel="0" collapsed="false">
      <c r="A10" s="109" t="s">
        <v>124</v>
      </c>
      <c r="B10" s="110" t="s">
        <v>100</v>
      </c>
      <c r="C10" s="110" t="s">
        <v>125</v>
      </c>
      <c r="D10" s="111" t="s">
        <v>101</v>
      </c>
      <c r="E10" s="111"/>
      <c r="F10" s="110" t="s">
        <v>126</v>
      </c>
      <c r="G10" s="112" t="s">
        <v>127</v>
      </c>
      <c r="H10" s="113" t="s">
        <v>128</v>
      </c>
      <c r="I10" s="77" t="s">
        <v>98</v>
      </c>
      <c r="J10" s="77"/>
      <c r="K10" s="77"/>
      <c r="L10" s="114" t="s">
        <v>99</v>
      </c>
      <c r="M10" s="114"/>
      <c r="N10" s="115" t="s">
        <v>129</v>
      </c>
      <c r="BK10" s="116" t="s">
        <v>130</v>
      </c>
      <c r="BL10" s="117" t="s">
        <v>131</v>
      </c>
      <c r="BW10" s="117" t="s">
        <v>132</v>
      </c>
    </row>
    <row r="11" customFormat="false" ht="15" hidden="false" customHeight="true" outlineLevel="0" collapsed="false">
      <c r="A11" s="118" t="s">
        <v>97</v>
      </c>
      <c r="B11" s="119" t="s">
        <v>97</v>
      </c>
      <c r="C11" s="119" t="s">
        <v>97</v>
      </c>
      <c r="D11" s="120" t="s">
        <v>133</v>
      </c>
      <c r="E11" s="120"/>
      <c r="F11" s="119" t="s">
        <v>97</v>
      </c>
      <c r="G11" s="121" t="s">
        <v>97</v>
      </c>
      <c r="H11" s="122" t="s">
        <v>134</v>
      </c>
      <c r="I11" s="81" t="s">
        <v>102</v>
      </c>
      <c r="J11" s="82" t="s">
        <v>40</v>
      </c>
      <c r="K11" s="83" t="s">
        <v>103</v>
      </c>
      <c r="L11" s="82" t="s">
        <v>135</v>
      </c>
      <c r="M11" s="122" t="s">
        <v>103</v>
      </c>
      <c r="N11" s="81" t="s">
        <v>136</v>
      </c>
      <c r="Z11" s="116" t="s">
        <v>137</v>
      </c>
      <c r="AA11" s="116" t="s">
        <v>138</v>
      </c>
      <c r="AB11" s="116" t="s">
        <v>139</v>
      </c>
      <c r="AC11" s="116" t="s">
        <v>140</v>
      </c>
      <c r="AD11" s="116" t="s">
        <v>141</v>
      </c>
      <c r="AE11" s="116" t="s">
        <v>142</v>
      </c>
      <c r="AF11" s="116" t="s">
        <v>143</v>
      </c>
      <c r="AG11" s="116" t="s">
        <v>144</v>
      </c>
      <c r="AH11" s="116" t="s">
        <v>145</v>
      </c>
      <c r="BH11" s="116" t="s">
        <v>146</v>
      </c>
      <c r="BI11" s="116" t="s">
        <v>147</v>
      </c>
      <c r="BJ11" s="116" t="s">
        <v>148</v>
      </c>
    </row>
    <row r="12" customFormat="false" ht="19.85" hidden="false" customHeight="true" outlineLevel="0" collapsed="false">
      <c r="A12" s="89"/>
      <c r="B12" s="147" t="s">
        <v>107</v>
      </c>
      <c r="C12" s="147"/>
      <c r="D12" s="148" t="s">
        <v>108</v>
      </c>
      <c r="E12" s="148"/>
      <c r="F12" s="89" t="s">
        <v>97</v>
      </c>
      <c r="G12" s="149" t="s">
        <v>97</v>
      </c>
      <c r="H12" s="89" t="s">
        <v>97</v>
      </c>
      <c r="I12" s="150" t="n">
        <f aca="false">ROUND(SUM(I13,I27,I42,I47,I50),2)</f>
        <v>0</v>
      </c>
      <c r="J12" s="150" t="n">
        <f aca="false">ROUND(SUM(J13,J27,J42,J47,J50),2)</f>
        <v>0</v>
      </c>
      <c r="K12" s="150" t="n">
        <f aca="false">ROUND(SUM(K13,K27,K42,K47,K50),2)</f>
        <v>0</v>
      </c>
      <c r="L12" s="151"/>
      <c r="M12" s="150" t="n">
        <f aca="false">SUM(M13,M27,M42,M47,M50)</f>
        <v>39.2930456</v>
      </c>
      <c r="N12" s="151"/>
    </row>
    <row r="13" customFormat="false" ht="15" hidden="false" customHeight="true" outlineLevel="0" collapsed="false">
      <c r="A13" s="128"/>
      <c r="B13" s="129" t="s">
        <v>107</v>
      </c>
      <c r="C13" s="129" t="s">
        <v>206</v>
      </c>
      <c r="D13" s="130" t="s">
        <v>234</v>
      </c>
      <c r="E13" s="130"/>
      <c r="F13" s="128" t="s">
        <v>97</v>
      </c>
      <c r="G13" s="131" t="s">
        <v>97</v>
      </c>
      <c r="H13" s="128" t="s">
        <v>97</v>
      </c>
      <c r="I13" s="132" t="n">
        <f aca="false">ROUND(SUM(I14:I26),2)</f>
        <v>0</v>
      </c>
      <c r="J13" s="132" t="n">
        <f aca="false">ROUND(SUM(J14:J26),2)</f>
        <v>0</v>
      </c>
      <c r="K13" s="132" t="n">
        <f aca="false">ROUND(SUM(K14:K26),2)</f>
        <v>0</v>
      </c>
      <c r="L13" s="133"/>
      <c r="M13" s="132" t="n">
        <f aca="false">SUM(M14:M26)</f>
        <v>0</v>
      </c>
      <c r="N13" s="133"/>
      <c r="AI13" s="116" t="s">
        <v>107</v>
      </c>
      <c r="AS13" s="107" t="n">
        <f aca="false">SUM(AJ14:AJ26)</f>
        <v>0</v>
      </c>
      <c r="AT13" s="107" t="n">
        <f aca="false">SUM(AK14:AK26)</f>
        <v>0</v>
      </c>
      <c r="AU13" s="107" t="n">
        <f aca="false">SUM(AL14:AL26)</f>
        <v>0</v>
      </c>
    </row>
    <row r="14" customFormat="false" ht="15" hidden="false" customHeight="true" outlineLevel="0" collapsed="false">
      <c r="A14" s="134" t="s">
        <v>151</v>
      </c>
      <c r="B14" s="134" t="s">
        <v>107</v>
      </c>
      <c r="C14" s="134" t="s">
        <v>236</v>
      </c>
      <c r="D14" s="135" t="s">
        <v>237</v>
      </c>
      <c r="E14" s="135"/>
      <c r="F14" s="134" t="s">
        <v>189</v>
      </c>
      <c r="G14" s="136" t="n">
        <f aca="false">'Stavební rozpočet'!G40</f>
        <v>2.01</v>
      </c>
      <c r="H14" s="137" t="n">
        <f aca="false">'Stavební rozpočet'!H40</f>
        <v>0</v>
      </c>
      <c r="I14" s="137" t="n">
        <f aca="false">ROUND(G14*AO14,2)</f>
        <v>0</v>
      </c>
      <c r="J14" s="137" t="n">
        <f aca="false">ROUND(G14*AP14,2)</f>
        <v>0</v>
      </c>
      <c r="K14" s="137" t="n">
        <f aca="false">ROUND(G14*H14,2)</f>
        <v>0</v>
      </c>
      <c r="L14" s="137" t="n">
        <f aca="false">'Stavební rozpočet'!L40</f>
        <v>0</v>
      </c>
      <c r="M14" s="137" t="n">
        <f aca="false">G14*L14</f>
        <v>0</v>
      </c>
      <c r="N14" s="138" t="s">
        <v>155</v>
      </c>
      <c r="Z14" s="88" t="n">
        <f aca="false">ROUND(IF(AQ14="5",BJ14,0),2)</f>
        <v>0</v>
      </c>
      <c r="AB14" s="88" t="n">
        <f aca="false">ROUND(IF(AQ14="1",BH14,0),2)</f>
        <v>0</v>
      </c>
      <c r="AC14" s="88" t="n">
        <f aca="false">ROUND(IF(AQ14="1",BI14,0),2)</f>
        <v>0</v>
      </c>
      <c r="AD14" s="88" t="n">
        <f aca="false">ROUND(IF(AQ14="7",BH14,0),2)</f>
        <v>0</v>
      </c>
      <c r="AE14" s="88" t="n">
        <f aca="false">ROUND(IF(AQ14="7",BI14,0),2)</f>
        <v>0</v>
      </c>
      <c r="AF14" s="88" t="n">
        <f aca="false">ROUND(IF(AQ14="2",BH14,0),2)</f>
        <v>0</v>
      </c>
      <c r="AG14" s="88" t="n">
        <f aca="false">ROUND(IF(AQ14="2",BI14,0),2)</f>
        <v>0</v>
      </c>
      <c r="AH14" s="88" t="n">
        <f aca="false">ROUND(IF(AQ14="0",BJ14,0),2)</f>
        <v>0</v>
      </c>
      <c r="AI14" s="116" t="s">
        <v>107</v>
      </c>
      <c r="AJ14" s="88" t="n">
        <f aca="false">IF(AN14=0,K14,0)</f>
        <v>0</v>
      </c>
      <c r="AK14" s="88" t="n">
        <f aca="false">IF(AN14=12,K14,0)</f>
        <v>0</v>
      </c>
      <c r="AL14" s="88" t="n">
        <f aca="false">IF(AN14=21,K14,0)</f>
        <v>0</v>
      </c>
      <c r="AN14" s="88" t="n">
        <v>21</v>
      </c>
      <c r="AO14" s="88" t="n">
        <f aca="false">H14*0</f>
        <v>0</v>
      </c>
      <c r="AP14" s="88" t="n">
        <f aca="false">H14*(1-0)</f>
        <v>0</v>
      </c>
      <c r="AQ14" s="87" t="s">
        <v>151</v>
      </c>
      <c r="AV14" s="88" t="n">
        <f aca="false">ROUND(AW14+AX14,2)</f>
        <v>0</v>
      </c>
      <c r="AW14" s="88" t="n">
        <f aca="false">ROUND(G14*AO14,2)</f>
        <v>0</v>
      </c>
      <c r="AX14" s="88" t="n">
        <f aca="false">ROUND(G14*AP14,2)</f>
        <v>0</v>
      </c>
      <c r="AY14" s="87" t="s">
        <v>238</v>
      </c>
      <c r="AZ14" s="87" t="s">
        <v>239</v>
      </c>
      <c r="BA14" s="116" t="s">
        <v>240</v>
      </c>
      <c r="BC14" s="88" t="n">
        <f aca="false">AW14+AX14</f>
        <v>0</v>
      </c>
      <c r="BD14" s="88" t="n">
        <f aca="false">H14/(100-BE14)*100</f>
        <v>0</v>
      </c>
      <c r="BE14" s="88" t="n">
        <v>0</v>
      </c>
      <c r="BF14" s="88" t="n">
        <f aca="false">M14</f>
        <v>0</v>
      </c>
      <c r="BH14" s="88" t="n">
        <f aca="false">G14*AO14</f>
        <v>0</v>
      </c>
      <c r="BI14" s="88" t="n">
        <f aca="false">G14*AP14</f>
        <v>0</v>
      </c>
      <c r="BJ14" s="88" t="n">
        <f aca="false">G14*H14</f>
        <v>0</v>
      </c>
      <c r="BK14" s="87" t="s">
        <v>159</v>
      </c>
      <c r="BL14" s="88" t="n">
        <v>13</v>
      </c>
      <c r="BW14" s="88" t="n">
        <v>21</v>
      </c>
      <c r="BX14" s="9" t="s">
        <v>237</v>
      </c>
    </row>
    <row r="15" customFormat="false" ht="15" hidden="false" customHeight="true" outlineLevel="0" collapsed="false">
      <c r="A15" s="134" t="s">
        <v>160</v>
      </c>
      <c r="B15" s="134" t="s">
        <v>107</v>
      </c>
      <c r="C15" s="134" t="s">
        <v>242</v>
      </c>
      <c r="D15" s="135" t="s">
        <v>243</v>
      </c>
      <c r="E15" s="135"/>
      <c r="F15" s="134" t="s">
        <v>189</v>
      </c>
      <c r="G15" s="136" t="n">
        <f aca="false">'Stavební rozpočet'!G41</f>
        <v>2.193</v>
      </c>
      <c r="H15" s="137" t="n">
        <f aca="false">'Stavební rozpočet'!H41</f>
        <v>0</v>
      </c>
      <c r="I15" s="137" t="n">
        <f aca="false">ROUND(G15*AO15,2)</f>
        <v>0</v>
      </c>
      <c r="J15" s="137" t="n">
        <f aca="false">ROUND(G15*AP15,2)</f>
        <v>0</v>
      </c>
      <c r="K15" s="137" t="n">
        <f aca="false">ROUND(G15*H15,2)</f>
        <v>0</v>
      </c>
      <c r="L15" s="137" t="n">
        <f aca="false">'Stavební rozpočet'!L41</f>
        <v>0</v>
      </c>
      <c r="M15" s="137" t="n">
        <f aca="false">G15*L15</f>
        <v>0</v>
      </c>
      <c r="N15" s="138" t="s">
        <v>155</v>
      </c>
      <c r="Z15" s="88" t="n">
        <f aca="false">ROUND(IF(AQ15="5",BJ15,0),2)</f>
        <v>0</v>
      </c>
      <c r="AB15" s="88" t="n">
        <f aca="false">ROUND(IF(AQ15="1",BH15,0),2)</f>
        <v>0</v>
      </c>
      <c r="AC15" s="88" t="n">
        <f aca="false">ROUND(IF(AQ15="1",BI15,0),2)</f>
        <v>0</v>
      </c>
      <c r="AD15" s="88" t="n">
        <f aca="false">ROUND(IF(AQ15="7",BH15,0),2)</f>
        <v>0</v>
      </c>
      <c r="AE15" s="88" t="n">
        <f aca="false">ROUND(IF(AQ15="7",BI15,0),2)</f>
        <v>0</v>
      </c>
      <c r="AF15" s="88" t="n">
        <f aca="false">ROUND(IF(AQ15="2",BH15,0),2)</f>
        <v>0</v>
      </c>
      <c r="AG15" s="88" t="n">
        <f aca="false">ROUND(IF(AQ15="2",BI15,0),2)</f>
        <v>0</v>
      </c>
      <c r="AH15" s="88" t="n">
        <f aca="false">ROUND(IF(AQ15="0",BJ15,0),2)</f>
        <v>0</v>
      </c>
      <c r="AI15" s="116" t="s">
        <v>107</v>
      </c>
      <c r="AJ15" s="88" t="n">
        <f aca="false">IF(AN15=0,K15,0)</f>
        <v>0</v>
      </c>
      <c r="AK15" s="88" t="n">
        <f aca="false">IF(AN15=12,K15,0)</f>
        <v>0</v>
      </c>
      <c r="AL15" s="88" t="n">
        <f aca="false">IF(AN15=21,K15,0)</f>
        <v>0</v>
      </c>
      <c r="AN15" s="88" t="n">
        <v>21</v>
      </c>
      <c r="AO15" s="88" t="n">
        <f aca="false">H15*0</f>
        <v>0</v>
      </c>
      <c r="AP15" s="88" t="n">
        <f aca="false">H15*(1-0)</f>
        <v>0</v>
      </c>
      <c r="AQ15" s="87" t="s">
        <v>151</v>
      </c>
      <c r="AV15" s="88" t="n">
        <f aca="false">ROUND(AW15+AX15,2)</f>
        <v>0</v>
      </c>
      <c r="AW15" s="88" t="n">
        <f aca="false">ROUND(G15*AO15,2)</f>
        <v>0</v>
      </c>
      <c r="AX15" s="88" t="n">
        <f aca="false">ROUND(G15*AP15,2)</f>
        <v>0</v>
      </c>
      <c r="AY15" s="87" t="s">
        <v>238</v>
      </c>
      <c r="AZ15" s="87" t="s">
        <v>239</v>
      </c>
      <c r="BA15" s="116" t="s">
        <v>240</v>
      </c>
      <c r="BC15" s="88" t="n">
        <f aca="false">AW15+AX15</f>
        <v>0</v>
      </c>
      <c r="BD15" s="88" t="n">
        <f aca="false">H15/(100-BE15)*100</f>
        <v>0</v>
      </c>
      <c r="BE15" s="88" t="n">
        <v>0</v>
      </c>
      <c r="BF15" s="88" t="n">
        <f aca="false">M15</f>
        <v>0</v>
      </c>
      <c r="BH15" s="88" t="n">
        <f aca="false">G15*AO15</f>
        <v>0</v>
      </c>
      <c r="BI15" s="88" t="n">
        <f aca="false">G15*AP15</f>
        <v>0</v>
      </c>
      <c r="BJ15" s="88" t="n">
        <f aca="false">G15*H15</f>
        <v>0</v>
      </c>
      <c r="BK15" s="87" t="s">
        <v>159</v>
      </c>
      <c r="BL15" s="88" t="n">
        <v>13</v>
      </c>
      <c r="BW15" s="88" t="n">
        <v>21</v>
      </c>
      <c r="BX15" s="9" t="s">
        <v>243</v>
      </c>
    </row>
    <row r="16" customFormat="false" ht="24.05" hidden="false" customHeight="true" outlineLevel="0" collapsed="false">
      <c r="A16" s="134" t="s">
        <v>164</v>
      </c>
      <c r="B16" s="134" t="s">
        <v>107</v>
      </c>
      <c r="C16" s="134" t="s">
        <v>245</v>
      </c>
      <c r="D16" s="135" t="s">
        <v>246</v>
      </c>
      <c r="E16" s="135"/>
      <c r="F16" s="134" t="s">
        <v>189</v>
      </c>
      <c r="G16" s="136" t="n">
        <f aca="false">'Stavební rozpočet'!G42</f>
        <v>5.184</v>
      </c>
      <c r="H16" s="137" t="n">
        <f aca="false">'Stavební rozpočet'!H42</f>
        <v>0</v>
      </c>
      <c r="I16" s="137" t="n">
        <f aca="false">ROUND(G16*AO16,2)</f>
        <v>0</v>
      </c>
      <c r="J16" s="137" t="n">
        <f aca="false">ROUND(G16*AP16,2)</f>
        <v>0</v>
      </c>
      <c r="K16" s="137" t="n">
        <f aca="false">ROUND(G16*H16,2)</f>
        <v>0</v>
      </c>
      <c r="L16" s="137" t="n">
        <f aca="false">'Stavební rozpočet'!L42</f>
        <v>0</v>
      </c>
      <c r="M16" s="137" t="n">
        <f aca="false">G16*L16</f>
        <v>0</v>
      </c>
      <c r="N16" s="138" t="s">
        <v>155</v>
      </c>
      <c r="Z16" s="88" t="n">
        <f aca="false">ROUND(IF(AQ16="5",BJ16,0),2)</f>
        <v>0</v>
      </c>
      <c r="AB16" s="88" t="n">
        <f aca="false">ROUND(IF(AQ16="1",BH16,0),2)</f>
        <v>0</v>
      </c>
      <c r="AC16" s="88" t="n">
        <f aca="false">ROUND(IF(AQ16="1",BI16,0),2)</f>
        <v>0</v>
      </c>
      <c r="AD16" s="88" t="n">
        <f aca="false">ROUND(IF(AQ16="7",BH16,0),2)</f>
        <v>0</v>
      </c>
      <c r="AE16" s="88" t="n">
        <f aca="false">ROUND(IF(AQ16="7",BI16,0),2)</f>
        <v>0</v>
      </c>
      <c r="AF16" s="88" t="n">
        <f aca="false">ROUND(IF(AQ16="2",BH16,0),2)</f>
        <v>0</v>
      </c>
      <c r="AG16" s="88" t="n">
        <f aca="false">ROUND(IF(AQ16="2",BI16,0),2)</f>
        <v>0</v>
      </c>
      <c r="AH16" s="88" t="n">
        <f aca="false">ROUND(IF(AQ16="0",BJ16,0),2)</f>
        <v>0</v>
      </c>
      <c r="AI16" s="116" t="s">
        <v>107</v>
      </c>
      <c r="AJ16" s="88" t="n">
        <f aca="false">IF(AN16=0,K16,0)</f>
        <v>0</v>
      </c>
      <c r="AK16" s="88" t="n">
        <f aca="false">IF(AN16=12,K16,0)</f>
        <v>0</v>
      </c>
      <c r="AL16" s="88" t="n">
        <f aca="false">IF(AN16=21,K16,0)</f>
        <v>0</v>
      </c>
      <c r="AN16" s="88" t="n">
        <v>21</v>
      </c>
      <c r="AO16" s="88" t="n">
        <f aca="false">H16*0</f>
        <v>0</v>
      </c>
      <c r="AP16" s="88" t="n">
        <f aca="false">H16*(1-0)</f>
        <v>0</v>
      </c>
      <c r="AQ16" s="87" t="s">
        <v>151</v>
      </c>
      <c r="AV16" s="88" t="n">
        <f aca="false">ROUND(AW16+AX16,2)</f>
        <v>0</v>
      </c>
      <c r="AW16" s="88" t="n">
        <f aca="false">ROUND(G16*AO16,2)</f>
        <v>0</v>
      </c>
      <c r="AX16" s="88" t="n">
        <f aca="false">ROUND(G16*AP16,2)</f>
        <v>0</v>
      </c>
      <c r="AY16" s="87" t="s">
        <v>238</v>
      </c>
      <c r="AZ16" s="87" t="s">
        <v>239</v>
      </c>
      <c r="BA16" s="116" t="s">
        <v>240</v>
      </c>
      <c r="BC16" s="88" t="n">
        <f aca="false">AW16+AX16</f>
        <v>0</v>
      </c>
      <c r="BD16" s="88" t="n">
        <f aca="false">H16/(100-BE16)*100</f>
        <v>0</v>
      </c>
      <c r="BE16" s="88" t="n">
        <v>0</v>
      </c>
      <c r="BF16" s="88" t="n">
        <f aca="false">M16</f>
        <v>0</v>
      </c>
      <c r="BH16" s="88" t="n">
        <f aca="false">G16*AO16</f>
        <v>0</v>
      </c>
      <c r="BI16" s="88" t="n">
        <f aca="false">G16*AP16</f>
        <v>0</v>
      </c>
      <c r="BJ16" s="88" t="n">
        <f aca="false">G16*H16</f>
        <v>0</v>
      </c>
      <c r="BK16" s="87" t="s">
        <v>159</v>
      </c>
      <c r="BL16" s="88" t="n">
        <v>13</v>
      </c>
      <c r="BW16" s="88" t="n">
        <v>21</v>
      </c>
      <c r="BX16" s="9" t="s">
        <v>246</v>
      </c>
    </row>
    <row r="17" customFormat="false" ht="15" hidden="false" customHeight="true" outlineLevel="0" collapsed="false">
      <c r="A17" s="134" t="s">
        <v>166</v>
      </c>
      <c r="B17" s="134" t="s">
        <v>107</v>
      </c>
      <c r="C17" s="134" t="s">
        <v>248</v>
      </c>
      <c r="D17" s="135" t="s">
        <v>249</v>
      </c>
      <c r="E17" s="135"/>
      <c r="F17" s="134" t="s">
        <v>189</v>
      </c>
      <c r="G17" s="136" t="n">
        <f aca="false">'Stavební rozpočet'!G43</f>
        <v>3.906</v>
      </c>
      <c r="H17" s="137" t="n">
        <f aca="false">'Stavební rozpočet'!H43</f>
        <v>0</v>
      </c>
      <c r="I17" s="137" t="n">
        <f aca="false">ROUND(G17*AO17,2)</f>
        <v>0</v>
      </c>
      <c r="J17" s="137" t="n">
        <f aca="false">ROUND(G17*AP17,2)</f>
        <v>0</v>
      </c>
      <c r="K17" s="137" t="n">
        <f aca="false">ROUND(G17*H17,2)</f>
        <v>0</v>
      </c>
      <c r="L17" s="137" t="n">
        <f aca="false">'Stavební rozpočet'!L43</f>
        <v>0</v>
      </c>
      <c r="M17" s="137" t="n">
        <f aca="false">G17*L17</f>
        <v>0</v>
      </c>
      <c r="N17" s="138" t="s">
        <v>155</v>
      </c>
      <c r="Z17" s="88" t="n">
        <f aca="false">ROUND(IF(AQ17="5",BJ17,0),2)</f>
        <v>0</v>
      </c>
      <c r="AB17" s="88" t="n">
        <f aca="false">ROUND(IF(AQ17="1",BH17,0),2)</f>
        <v>0</v>
      </c>
      <c r="AC17" s="88" t="n">
        <f aca="false">ROUND(IF(AQ17="1",BI17,0),2)</f>
        <v>0</v>
      </c>
      <c r="AD17" s="88" t="n">
        <f aca="false">ROUND(IF(AQ17="7",BH17,0),2)</f>
        <v>0</v>
      </c>
      <c r="AE17" s="88" t="n">
        <f aca="false">ROUND(IF(AQ17="7",BI17,0),2)</f>
        <v>0</v>
      </c>
      <c r="AF17" s="88" t="n">
        <f aca="false">ROUND(IF(AQ17="2",BH17,0),2)</f>
        <v>0</v>
      </c>
      <c r="AG17" s="88" t="n">
        <f aca="false">ROUND(IF(AQ17="2",BI17,0),2)</f>
        <v>0</v>
      </c>
      <c r="AH17" s="88" t="n">
        <f aca="false">ROUND(IF(AQ17="0",BJ17,0),2)</f>
        <v>0</v>
      </c>
      <c r="AI17" s="116" t="s">
        <v>107</v>
      </c>
      <c r="AJ17" s="88" t="n">
        <f aca="false">IF(AN17=0,K17,0)</f>
        <v>0</v>
      </c>
      <c r="AK17" s="88" t="n">
        <f aca="false">IF(AN17=12,K17,0)</f>
        <v>0</v>
      </c>
      <c r="AL17" s="88" t="n">
        <f aca="false">IF(AN17=21,K17,0)</f>
        <v>0</v>
      </c>
      <c r="AN17" s="88" t="n">
        <v>21</v>
      </c>
      <c r="AO17" s="88" t="n">
        <f aca="false">H17*0</f>
        <v>0</v>
      </c>
      <c r="AP17" s="88" t="n">
        <f aca="false">H17*(1-0)</f>
        <v>0</v>
      </c>
      <c r="AQ17" s="87" t="s">
        <v>151</v>
      </c>
      <c r="AV17" s="88" t="n">
        <f aca="false">ROUND(AW17+AX17,2)</f>
        <v>0</v>
      </c>
      <c r="AW17" s="88" t="n">
        <f aca="false">ROUND(G17*AO17,2)</f>
        <v>0</v>
      </c>
      <c r="AX17" s="88" t="n">
        <f aca="false">ROUND(G17*AP17,2)</f>
        <v>0</v>
      </c>
      <c r="AY17" s="87" t="s">
        <v>238</v>
      </c>
      <c r="AZ17" s="87" t="s">
        <v>239</v>
      </c>
      <c r="BA17" s="116" t="s">
        <v>240</v>
      </c>
      <c r="BC17" s="88" t="n">
        <f aca="false">AW17+AX17</f>
        <v>0</v>
      </c>
      <c r="BD17" s="88" t="n">
        <f aca="false">H17/(100-BE17)*100</f>
        <v>0</v>
      </c>
      <c r="BE17" s="88" t="n">
        <v>0</v>
      </c>
      <c r="BF17" s="88" t="n">
        <f aca="false">M17</f>
        <v>0</v>
      </c>
      <c r="BH17" s="88" t="n">
        <f aca="false">G17*AO17</f>
        <v>0</v>
      </c>
      <c r="BI17" s="88" t="n">
        <f aca="false">G17*AP17</f>
        <v>0</v>
      </c>
      <c r="BJ17" s="88" t="n">
        <f aca="false">G17*H17</f>
        <v>0</v>
      </c>
      <c r="BK17" s="87" t="s">
        <v>159</v>
      </c>
      <c r="BL17" s="88" t="n">
        <v>13</v>
      </c>
      <c r="BW17" s="88" t="n">
        <v>21</v>
      </c>
      <c r="BX17" s="9" t="s">
        <v>249</v>
      </c>
    </row>
    <row r="18" customFormat="false" ht="24.05" hidden="false" customHeight="true" outlineLevel="0" collapsed="false">
      <c r="A18" s="134" t="s">
        <v>170</v>
      </c>
      <c r="B18" s="134" t="s">
        <v>107</v>
      </c>
      <c r="C18" s="134" t="s">
        <v>251</v>
      </c>
      <c r="D18" s="135" t="s">
        <v>252</v>
      </c>
      <c r="E18" s="135"/>
      <c r="F18" s="134" t="s">
        <v>189</v>
      </c>
      <c r="G18" s="136" t="n">
        <f aca="false">'Stavební rozpočet'!G44</f>
        <v>1.96</v>
      </c>
      <c r="H18" s="137" t="n">
        <f aca="false">'Stavební rozpočet'!H44</f>
        <v>0</v>
      </c>
      <c r="I18" s="137" t="n">
        <f aca="false">ROUND(G18*AO18,2)</f>
        <v>0</v>
      </c>
      <c r="J18" s="137" t="n">
        <f aca="false">ROUND(G18*AP18,2)</f>
        <v>0</v>
      </c>
      <c r="K18" s="137" t="n">
        <f aca="false">ROUND(G18*H18,2)</f>
        <v>0</v>
      </c>
      <c r="L18" s="137" t="n">
        <f aca="false">'Stavební rozpočet'!L44</f>
        <v>0</v>
      </c>
      <c r="M18" s="137" t="n">
        <f aca="false">G18*L18</f>
        <v>0</v>
      </c>
      <c r="N18" s="138" t="s">
        <v>155</v>
      </c>
      <c r="Z18" s="88" t="n">
        <f aca="false">ROUND(IF(AQ18="5",BJ18,0),2)</f>
        <v>0</v>
      </c>
      <c r="AB18" s="88" t="n">
        <f aca="false">ROUND(IF(AQ18="1",BH18,0),2)</f>
        <v>0</v>
      </c>
      <c r="AC18" s="88" t="n">
        <f aca="false">ROUND(IF(AQ18="1",BI18,0),2)</f>
        <v>0</v>
      </c>
      <c r="AD18" s="88" t="n">
        <f aca="false">ROUND(IF(AQ18="7",BH18,0),2)</f>
        <v>0</v>
      </c>
      <c r="AE18" s="88" t="n">
        <f aca="false">ROUND(IF(AQ18="7",BI18,0),2)</f>
        <v>0</v>
      </c>
      <c r="AF18" s="88" t="n">
        <f aca="false">ROUND(IF(AQ18="2",BH18,0),2)</f>
        <v>0</v>
      </c>
      <c r="AG18" s="88" t="n">
        <f aca="false">ROUND(IF(AQ18="2",BI18,0),2)</f>
        <v>0</v>
      </c>
      <c r="AH18" s="88" t="n">
        <f aca="false">ROUND(IF(AQ18="0",BJ18,0),2)</f>
        <v>0</v>
      </c>
      <c r="AI18" s="116" t="s">
        <v>107</v>
      </c>
      <c r="AJ18" s="88" t="n">
        <f aca="false">IF(AN18=0,K18,0)</f>
        <v>0</v>
      </c>
      <c r="AK18" s="88" t="n">
        <f aca="false">IF(AN18=12,K18,0)</f>
        <v>0</v>
      </c>
      <c r="AL18" s="88" t="n">
        <f aca="false">IF(AN18=21,K18,0)</f>
        <v>0</v>
      </c>
      <c r="AN18" s="88" t="n">
        <v>21</v>
      </c>
      <c r="AO18" s="88" t="n">
        <f aca="false">H18*0</f>
        <v>0</v>
      </c>
      <c r="AP18" s="88" t="n">
        <f aca="false">H18*(1-0)</f>
        <v>0</v>
      </c>
      <c r="AQ18" s="87" t="s">
        <v>151</v>
      </c>
      <c r="AV18" s="88" t="n">
        <f aca="false">ROUND(AW18+AX18,2)</f>
        <v>0</v>
      </c>
      <c r="AW18" s="88" t="n">
        <f aca="false">ROUND(G18*AO18,2)</f>
        <v>0</v>
      </c>
      <c r="AX18" s="88" t="n">
        <f aca="false">ROUND(G18*AP18,2)</f>
        <v>0</v>
      </c>
      <c r="AY18" s="87" t="s">
        <v>238</v>
      </c>
      <c r="AZ18" s="87" t="s">
        <v>239</v>
      </c>
      <c r="BA18" s="116" t="s">
        <v>240</v>
      </c>
      <c r="BC18" s="88" t="n">
        <f aca="false">AW18+AX18</f>
        <v>0</v>
      </c>
      <c r="BD18" s="88" t="n">
        <f aca="false">H18/(100-BE18)*100</f>
        <v>0</v>
      </c>
      <c r="BE18" s="88" t="n">
        <v>0</v>
      </c>
      <c r="BF18" s="88" t="n">
        <f aca="false">M18</f>
        <v>0</v>
      </c>
      <c r="BH18" s="88" t="n">
        <f aca="false">G18*AO18</f>
        <v>0</v>
      </c>
      <c r="BI18" s="88" t="n">
        <f aca="false">G18*AP18</f>
        <v>0</v>
      </c>
      <c r="BJ18" s="88" t="n">
        <f aca="false">G18*H18</f>
        <v>0</v>
      </c>
      <c r="BK18" s="87" t="s">
        <v>159</v>
      </c>
      <c r="BL18" s="88" t="n">
        <v>13</v>
      </c>
      <c r="BW18" s="88" t="n">
        <v>21</v>
      </c>
      <c r="BX18" s="9" t="s">
        <v>252</v>
      </c>
    </row>
    <row r="19" customFormat="false" ht="15" hidden="false" customHeight="true" outlineLevel="0" collapsed="false">
      <c r="A19" s="134" t="s">
        <v>173</v>
      </c>
      <c r="B19" s="134" t="s">
        <v>107</v>
      </c>
      <c r="C19" s="134" t="s">
        <v>254</v>
      </c>
      <c r="D19" s="135" t="s">
        <v>255</v>
      </c>
      <c r="E19" s="135"/>
      <c r="F19" s="134" t="s">
        <v>189</v>
      </c>
      <c r="G19" s="136" t="n">
        <f aca="false">'Stavební rozpočet'!G45</f>
        <v>1.96</v>
      </c>
      <c r="H19" s="137" t="n">
        <f aca="false">'Stavební rozpočet'!H45</f>
        <v>0</v>
      </c>
      <c r="I19" s="137" t="n">
        <f aca="false">ROUND(G19*AO19,2)</f>
        <v>0</v>
      </c>
      <c r="J19" s="137" t="n">
        <f aca="false">ROUND(G19*AP19,2)</f>
        <v>0</v>
      </c>
      <c r="K19" s="137" t="n">
        <f aca="false">ROUND(G19*H19,2)</f>
        <v>0</v>
      </c>
      <c r="L19" s="137" t="n">
        <f aca="false">'Stavební rozpočet'!L45</f>
        <v>0</v>
      </c>
      <c r="M19" s="137" t="n">
        <f aca="false">G19*L19</f>
        <v>0</v>
      </c>
      <c r="N19" s="138" t="s">
        <v>155</v>
      </c>
      <c r="Z19" s="88" t="n">
        <f aca="false">ROUND(IF(AQ19="5",BJ19,0),2)</f>
        <v>0</v>
      </c>
      <c r="AB19" s="88" t="n">
        <f aca="false">ROUND(IF(AQ19="1",BH19,0),2)</f>
        <v>0</v>
      </c>
      <c r="AC19" s="88" t="n">
        <f aca="false">ROUND(IF(AQ19="1",BI19,0),2)</f>
        <v>0</v>
      </c>
      <c r="AD19" s="88" t="n">
        <f aca="false">ROUND(IF(AQ19="7",BH19,0),2)</f>
        <v>0</v>
      </c>
      <c r="AE19" s="88" t="n">
        <f aca="false">ROUND(IF(AQ19="7",BI19,0),2)</f>
        <v>0</v>
      </c>
      <c r="AF19" s="88" t="n">
        <f aca="false">ROUND(IF(AQ19="2",BH19,0),2)</f>
        <v>0</v>
      </c>
      <c r="AG19" s="88" t="n">
        <f aca="false">ROUND(IF(AQ19="2",BI19,0),2)</f>
        <v>0</v>
      </c>
      <c r="AH19" s="88" t="n">
        <f aca="false">ROUND(IF(AQ19="0",BJ19,0),2)</f>
        <v>0</v>
      </c>
      <c r="AI19" s="116" t="s">
        <v>107</v>
      </c>
      <c r="AJ19" s="88" t="n">
        <f aca="false">IF(AN19=0,K19,0)</f>
        <v>0</v>
      </c>
      <c r="AK19" s="88" t="n">
        <f aca="false">IF(AN19=12,K19,0)</f>
        <v>0</v>
      </c>
      <c r="AL19" s="88" t="n">
        <f aca="false">IF(AN19=21,K19,0)</f>
        <v>0</v>
      </c>
      <c r="AN19" s="88" t="n">
        <v>21</v>
      </c>
      <c r="AO19" s="88" t="n">
        <f aca="false">H19*0</f>
        <v>0</v>
      </c>
      <c r="AP19" s="88" t="n">
        <f aca="false">H19*(1-0)</f>
        <v>0</v>
      </c>
      <c r="AQ19" s="87" t="s">
        <v>151</v>
      </c>
      <c r="AV19" s="88" t="n">
        <f aca="false">ROUND(AW19+AX19,2)</f>
        <v>0</v>
      </c>
      <c r="AW19" s="88" t="n">
        <f aca="false">ROUND(G19*AO19,2)</f>
        <v>0</v>
      </c>
      <c r="AX19" s="88" t="n">
        <f aca="false">ROUND(G19*AP19,2)</f>
        <v>0</v>
      </c>
      <c r="AY19" s="87" t="s">
        <v>238</v>
      </c>
      <c r="AZ19" s="87" t="s">
        <v>239</v>
      </c>
      <c r="BA19" s="116" t="s">
        <v>240</v>
      </c>
      <c r="BC19" s="88" t="n">
        <f aca="false">AW19+AX19</f>
        <v>0</v>
      </c>
      <c r="BD19" s="88" t="n">
        <f aca="false">H19/(100-BE19)*100</f>
        <v>0</v>
      </c>
      <c r="BE19" s="88" t="n">
        <v>0</v>
      </c>
      <c r="BF19" s="88" t="n">
        <f aca="false">M19</f>
        <v>0</v>
      </c>
      <c r="BH19" s="88" t="n">
        <f aca="false">G19*AO19</f>
        <v>0</v>
      </c>
      <c r="BI19" s="88" t="n">
        <f aca="false">G19*AP19</f>
        <v>0</v>
      </c>
      <c r="BJ19" s="88" t="n">
        <f aca="false">G19*H19</f>
        <v>0</v>
      </c>
      <c r="BK19" s="87" t="s">
        <v>159</v>
      </c>
      <c r="BL19" s="88" t="n">
        <v>13</v>
      </c>
      <c r="BW19" s="88" t="n">
        <v>21</v>
      </c>
      <c r="BX19" s="9" t="s">
        <v>255</v>
      </c>
    </row>
    <row r="20" customFormat="false" ht="15" hidden="false" customHeight="true" outlineLevel="0" collapsed="false">
      <c r="A20" s="134" t="s">
        <v>176</v>
      </c>
      <c r="B20" s="134" t="s">
        <v>107</v>
      </c>
      <c r="C20" s="134" t="s">
        <v>257</v>
      </c>
      <c r="D20" s="135" t="s">
        <v>258</v>
      </c>
      <c r="E20" s="135"/>
      <c r="F20" s="134" t="s">
        <v>189</v>
      </c>
      <c r="G20" s="136" t="n">
        <f aca="false">'Stavební rozpočet'!G46</f>
        <v>3.92</v>
      </c>
      <c r="H20" s="137" t="n">
        <f aca="false">'Stavební rozpočet'!H46</f>
        <v>0</v>
      </c>
      <c r="I20" s="137" t="n">
        <f aca="false">ROUND(G20*AO20,2)</f>
        <v>0</v>
      </c>
      <c r="J20" s="137" t="n">
        <f aca="false">ROUND(G20*AP20,2)</f>
        <v>0</v>
      </c>
      <c r="K20" s="137" t="n">
        <f aca="false">ROUND(G20*H20,2)</f>
        <v>0</v>
      </c>
      <c r="L20" s="137" t="n">
        <f aca="false">'Stavební rozpočet'!L46</f>
        <v>0</v>
      </c>
      <c r="M20" s="137" t="n">
        <f aca="false">G20*L20</f>
        <v>0</v>
      </c>
      <c r="N20" s="138" t="s">
        <v>155</v>
      </c>
      <c r="Z20" s="88" t="n">
        <f aca="false">ROUND(IF(AQ20="5",BJ20,0),2)</f>
        <v>0</v>
      </c>
      <c r="AB20" s="88" t="n">
        <f aca="false">ROUND(IF(AQ20="1",BH20,0),2)</f>
        <v>0</v>
      </c>
      <c r="AC20" s="88" t="n">
        <f aca="false">ROUND(IF(AQ20="1",BI20,0),2)</f>
        <v>0</v>
      </c>
      <c r="AD20" s="88" t="n">
        <f aca="false">ROUND(IF(AQ20="7",BH20,0),2)</f>
        <v>0</v>
      </c>
      <c r="AE20" s="88" t="n">
        <f aca="false">ROUND(IF(AQ20="7",BI20,0),2)</f>
        <v>0</v>
      </c>
      <c r="AF20" s="88" t="n">
        <f aca="false">ROUND(IF(AQ20="2",BH20,0),2)</f>
        <v>0</v>
      </c>
      <c r="AG20" s="88" t="n">
        <f aca="false">ROUND(IF(AQ20="2",BI20,0),2)</f>
        <v>0</v>
      </c>
      <c r="AH20" s="88" t="n">
        <f aca="false">ROUND(IF(AQ20="0",BJ20,0),2)</f>
        <v>0</v>
      </c>
      <c r="AI20" s="116" t="s">
        <v>107</v>
      </c>
      <c r="AJ20" s="88" t="n">
        <f aca="false">IF(AN20=0,K20,0)</f>
        <v>0</v>
      </c>
      <c r="AK20" s="88" t="n">
        <f aca="false">IF(AN20=12,K20,0)</f>
        <v>0</v>
      </c>
      <c r="AL20" s="88" t="n">
        <f aca="false">IF(AN20=21,K20,0)</f>
        <v>0</v>
      </c>
      <c r="AN20" s="88" t="n">
        <v>21</v>
      </c>
      <c r="AO20" s="88" t="n">
        <f aca="false">H20*0</f>
        <v>0</v>
      </c>
      <c r="AP20" s="88" t="n">
        <f aca="false">H20*(1-0)</f>
        <v>0</v>
      </c>
      <c r="AQ20" s="87" t="s">
        <v>151</v>
      </c>
      <c r="AV20" s="88" t="n">
        <f aca="false">ROUND(AW20+AX20,2)</f>
        <v>0</v>
      </c>
      <c r="AW20" s="88" t="n">
        <f aca="false">ROUND(G20*AO20,2)</f>
        <v>0</v>
      </c>
      <c r="AX20" s="88" t="n">
        <f aca="false">ROUND(G20*AP20,2)</f>
        <v>0</v>
      </c>
      <c r="AY20" s="87" t="s">
        <v>238</v>
      </c>
      <c r="AZ20" s="87" t="s">
        <v>239</v>
      </c>
      <c r="BA20" s="116" t="s">
        <v>240</v>
      </c>
      <c r="BC20" s="88" t="n">
        <f aca="false">AW20+AX20</f>
        <v>0</v>
      </c>
      <c r="BD20" s="88" t="n">
        <f aca="false">H20/(100-BE20)*100</f>
        <v>0</v>
      </c>
      <c r="BE20" s="88" t="n">
        <v>0</v>
      </c>
      <c r="BF20" s="88" t="n">
        <f aca="false">M20</f>
        <v>0</v>
      </c>
      <c r="BH20" s="88" t="n">
        <f aca="false">G20*AO20</f>
        <v>0</v>
      </c>
      <c r="BI20" s="88" t="n">
        <f aca="false">G20*AP20</f>
        <v>0</v>
      </c>
      <c r="BJ20" s="88" t="n">
        <f aca="false">G20*H20</f>
        <v>0</v>
      </c>
      <c r="BK20" s="87" t="s">
        <v>159</v>
      </c>
      <c r="BL20" s="88" t="n">
        <v>13</v>
      </c>
      <c r="BW20" s="88" t="n">
        <v>21</v>
      </c>
      <c r="BX20" s="9" t="s">
        <v>258</v>
      </c>
    </row>
    <row r="21" customFormat="false" ht="15" hidden="false" customHeight="true" outlineLevel="0" collapsed="false">
      <c r="A21" s="134" t="s">
        <v>181</v>
      </c>
      <c r="B21" s="134" t="s">
        <v>107</v>
      </c>
      <c r="C21" s="134" t="s">
        <v>260</v>
      </c>
      <c r="D21" s="135" t="s">
        <v>261</v>
      </c>
      <c r="E21" s="135"/>
      <c r="F21" s="134" t="s">
        <v>189</v>
      </c>
      <c r="G21" s="136" t="n">
        <f aca="false">'Stavební rozpočet'!G47</f>
        <v>13.293</v>
      </c>
      <c r="H21" s="137" t="n">
        <f aca="false">'Stavební rozpočet'!H47</f>
        <v>0</v>
      </c>
      <c r="I21" s="137" t="n">
        <f aca="false">ROUND(G21*AO21,2)</f>
        <v>0</v>
      </c>
      <c r="J21" s="137" t="n">
        <f aca="false">ROUND(G21*AP21,2)</f>
        <v>0</v>
      </c>
      <c r="K21" s="137" t="n">
        <f aca="false">ROUND(G21*H21,2)</f>
        <v>0</v>
      </c>
      <c r="L21" s="137" t="n">
        <f aca="false">'Stavební rozpočet'!L47</f>
        <v>0</v>
      </c>
      <c r="M21" s="137" t="n">
        <f aca="false">G21*L21</f>
        <v>0</v>
      </c>
      <c r="N21" s="138" t="s">
        <v>155</v>
      </c>
      <c r="Z21" s="88" t="n">
        <f aca="false">ROUND(IF(AQ21="5",BJ21,0),2)</f>
        <v>0</v>
      </c>
      <c r="AB21" s="88" t="n">
        <f aca="false">ROUND(IF(AQ21="1",BH21,0),2)</f>
        <v>0</v>
      </c>
      <c r="AC21" s="88" t="n">
        <f aca="false">ROUND(IF(AQ21="1",BI21,0),2)</f>
        <v>0</v>
      </c>
      <c r="AD21" s="88" t="n">
        <f aca="false">ROUND(IF(AQ21="7",BH21,0),2)</f>
        <v>0</v>
      </c>
      <c r="AE21" s="88" t="n">
        <f aca="false">ROUND(IF(AQ21="7",BI21,0),2)</f>
        <v>0</v>
      </c>
      <c r="AF21" s="88" t="n">
        <f aca="false">ROUND(IF(AQ21="2",BH21,0),2)</f>
        <v>0</v>
      </c>
      <c r="AG21" s="88" t="n">
        <f aca="false">ROUND(IF(AQ21="2",BI21,0),2)</f>
        <v>0</v>
      </c>
      <c r="AH21" s="88" t="n">
        <f aca="false">ROUND(IF(AQ21="0",BJ21,0),2)</f>
        <v>0</v>
      </c>
      <c r="AI21" s="116" t="s">
        <v>107</v>
      </c>
      <c r="AJ21" s="88" t="n">
        <f aca="false">IF(AN21=0,K21,0)</f>
        <v>0</v>
      </c>
      <c r="AK21" s="88" t="n">
        <f aca="false">IF(AN21=12,K21,0)</f>
        <v>0</v>
      </c>
      <c r="AL21" s="88" t="n">
        <f aca="false">IF(AN21=21,K21,0)</f>
        <v>0</v>
      </c>
      <c r="AN21" s="88" t="n">
        <v>21</v>
      </c>
      <c r="AO21" s="88" t="n">
        <f aca="false">H21*0</f>
        <v>0</v>
      </c>
      <c r="AP21" s="88" t="n">
        <f aca="false">H21*(1-0)</f>
        <v>0</v>
      </c>
      <c r="AQ21" s="87" t="s">
        <v>151</v>
      </c>
      <c r="AV21" s="88" t="n">
        <f aca="false">ROUND(AW21+AX21,2)</f>
        <v>0</v>
      </c>
      <c r="AW21" s="88" t="n">
        <f aca="false">ROUND(G21*AO21,2)</f>
        <v>0</v>
      </c>
      <c r="AX21" s="88" t="n">
        <f aca="false">ROUND(G21*AP21,2)</f>
        <v>0</v>
      </c>
      <c r="AY21" s="87" t="s">
        <v>238</v>
      </c>
      <c r="AZ21" s="87" t="s">
        <v>239</v>
      </c>
      <c r="BA21" s="116" t="s">
        <v>240</v>
      </c>
      <c r="BC21" s="88" t="n">
        <f aca="false">AW21+AX21</f>
        <v>0</v>
      </c>
      <c r="BD21" s="88" t="n">
        <f aca="false">H21/(100-BE21)*100</f>
        <v>0</v>
      </c>
      <c r="BE21" s="88" t="n">
        <v>0</v>
      </c>
      <c r="BF21" s="88" t="n">
        <f aca="false">M21</f>
        <v>0</v>
      </c>
      <c r="BH21" s="88" t="n">
        <f aca="false">G21*AO21</f>
        <v>0</v>
      </c>
      <c r="BI21" s="88" t="n">
        <f aca="false">G21*AP21</f>
        <v>0</v>
      </c>
      <c r="BJ21" s="88" t="n">
        <f aca="false">G21*H21</f>
        <v>0</v>
      </c>
      <c r="BK21" s="87" t="s">
        <v>159</v>
      </c>
      <c r="BL21" s="88" t="n">
        <v>13</v>
      </c>
      <c r="BW21" s="88" t="n">
        <v>21</v>
      </c>
      <c r="BX21" s="9" t="s">
        <v>261</v>
      </c>
    </row>
    <row r="22" customFormat="false" ht="24.05" hidden="false" customHeight="true" outlineLevel="0" collapsed="false">
      <c r="A22" s="134" t="s">
        <v>186</v>
      </c>
      <c r="B22" s="134" t="s">
        <v>107</v>
      </c>
      <c r="C22" s="134" t="s">
        <v>263</v>
      </c>
      <c r="D22" s="135" t="s">
        <v>264</v>
      </c>
      <c r="E22" s="135"/>
      <c r="F22" s="134" t="s">
        <v>189</v>
      </c>
      <c r="G22" s="136" t="n">
        <f aca="false">'Stavební rozpočet'!G48</f>
        <v>0.98</v>
      </c>
      <c r="H22" s="137" t="n">
        <f aca="false">'Stavební rozpočet'!H48</f>
        <v>0</v>
      </c>
      <c r="I22" s="137" t="n">
        <f aca="false">ROUND(G22*AO22,2)</f>
        <v>0</v>
      </c>
      <c r="J22" s="137" t="n">
        <f aca="false">ROUND(G22*AP22,2)</f>
        <v>0</v>
      </c>
      <c r="K22" s="137" t="n">
        <f aca="false">ROUND(G22*H22,2)</f>
        <v>0</v>
      </c>
      <c r="L22" s="137" t="n">
        <f aca="false">'Stavební rozpočet'!L48</f>
        <v>0</v>
      </c>
      <c r="M22" s="137" t="n">
        <f aca="false">G22*L22</f>
        <v>0</v>
      </c>
      <c r="N22" s="138" t="s">
        <v>155</v>
      </c>
      <c r="Z22" s="88" t="n">
        <f aca="false">ROUND(IF(AQ22="5",BJ22,0),2)</f>
        <v>0</v>
      </c>
      <c r="AB22" s="88" t="n">
        <f aca="false">ROUND(IF(AQ22="1",BH22,0),2)</f>
        <v>0</v>
      </c>
      <c r="AC22" s="88" t="n">
        <f aca="false">ROUND(IF(AQ22="1",BI22,0),2)</f>
        <v>0</v>
      </c>
      <c r="AD22" s="88" t="n">
        <f aca="false">ROUND(IF(AQ22="7",BH22,0),2)</f>
        <v>0</v>
      </c>
      <c r="AE22" s="88" t="n">
        <f aca="false">ROUND(IF(AQ22="7",BI22,0),2)</f>
        <v>0</v>
      </c>
      <c r="AF22" s="88" t="n">
        <f aca="false">ROUND(IF(AQ22="2",BH22,0),2)</f>
        <v>0</v>
      </c>
      <c r="AG22" s="88" t="n">
        <f aca="false">ROUND(IF(AQ22="2",BI22,0),2)</f>
        <v>0</v>
      </c>
      <c r="AH22" s="88" t="n">
        <f aca="false">ROUND(IF(AQ22="0",BJ22,0),2)</f>
        <v>0</v>
      </c>
      <c r="AI22" s="116" t="s">
        <v>107</v>
      </c>
      <c r="AJ22" s="88" t="n">
        <f aca="false">IF(AN22=0,K22,0)</f>
        <v>0</v>
      </c>
      <c r="AK22" s="88" t="n">
        <f aca="false">IF(AN22=12,K22,0)</f>
        <v>0</v>
      </c>
      <c r="AL22" s="88" t="n">
        <f aca="false">IF(AN22=21,K22,0)</f>
        <v>0</v>
      </c>
      <c r="AN22" s="88" t="n">
        <v>21</v>
      </c>
      <c r="AO22" s="88" t="n">
        <f aca="false">H22*0</f>
        <v>0</v>
      </c>
      <c r="AP22" s="88" t="n">
        <f aca="false">H22*(1-0)</f>
        <v>0</v>
      </c>
      <c r="AQ22" s="87" t="s">
        <v>151</v>
      </c>
      <c r="AV22" s="88" t="n">
        <f aca="false">ROUND(AW22+AX22,2)</f>
        <v>0</v>
      </c>
      <c r="AW22" s="88" t="n">
        <f aca="false">ROUND(G22*AO22,2)</f>
        <v>0</v>
      </c>
      <c r="AX22" s="88" t="n">
        <f aca="false">ROUND(G22*AP22,2)</f>
        <v>0</v>
      </c>
      <c r="AY22" s="87" t="s">
        <v>238</v>
      </c>
      <c r="AZ22" s="87" t="s">
        <v>239</v>
      </c>
      <c r="BA22" s="116" t="s">
        <v>240</v>
      </c>
      <c r="BC22" s="88" t="n">
        <f aca="false">AW22+AX22</f>
        <v>0</v>
      </c>
      <c r="BD22" s="88" t="n">
        <f aca="false">H22/(100-BE22)*100</f>
        <v>0</v>
      </c>
      <c r="BE22" s="88" t="n">
        <v>0</v>
      </c>
      <c r="BF22" s="88" t="n">
        <f aca="false">M22</f>
        <v>0</v>
      </c>
      <c r="BH22" s="88" t="n">
        <f aca="false">G22*AO22</f>
        <v>0</v>
      </c>
      <c r="BI22" s="88" t="n">
        <f aca="false">G22*AP22</f>
        <v>0</v>
      </c>
      <c r="BJ22" s="88" t="n">
        <f aca="false">G22*H22</f>
        <v>0</v>
      </c>
      <c r="BK22" s="87" t="s">
        <v>159</v>
      </c>
      <c r="BL22" s="88" t="n">
        <v>13</v>
      </c>
      <c r="BW22" s="88" t="n">
        <v>21</v>
      </c>
      <c r="BX22" s="9" t="s">
        <v>264</v>
      </c>
    </row>
    <row r="23" customFormat="false" ht="15" hidden="false" customHeight="true" outlineLevel="0" collapsed="false">
      <c r="A23" s="134" t="s">
        <v>192</v>
      </c>
      <c r="B23" s="134" t="s">
        <v>107</v>
      </c>
      <c r="C23" s="134" t="s">
        <v>266</v>
      </c>
      <c r="D23" s="135" t="s">
        <v>267</v>
      </c>
      <c r="E23" s="135"/>
      <c r="F23" s="134" t="s">
        <v>189</v>
      </c>
      <c r="G23" s="136" t="n">
        <f aca="false">'Stavební rozpočet'!G49</f>
        <v>14.7</v>
      </c>
      <c r="H23" s="137" t="n">
        <f aca="false">'Stavební rozpočet'!H49</f>
        <v>0</v>
      </c>
      <c r="I23" s="137" t="n">
        <f aca="false">ROUND(G23*AO23,2)</f>
        <v>0</v>
      </c>
      <c r="J23" s="137" t="n">
        <f aca="false">ROUND(G23*AP23,2)</f>
        <v>0</v>
      </c>
      <c r="K23" s="137" t="n">
        <f aca="false">ROUND(G23*H23,2)</f>
        <v>0</v>
      </c>
      <c r="L23" s="137" t="n">
        <f aca="false">'Stavební rozpočet'!L49</f>
        <v>0</v>
      </c>
      <c r="M23" s="137" t="n">
        <f aca="false">G23*L23</f>
        <v>0</v>
      </c>
      <c r="N23" s="138" t="s">
        <v>155</v>
      </c>
      <c r="Z23" s="88" t="n">
        <f aca="false">ROUND(IF(AQ23="5",BJ23,0),2)</f>
        <v>0</v>
      </c>
      <c r="AB23" s="88" t="n">
        <f aca="false">ROUND(IF(AQ23="1",BH23,0),2)</f>
        <v>0</v>
      </c>
      <c r="AC23" s="88" t="n">
        <f aca="false">ROUND(IF(AQ23="1",BI23,0),2)</f>
        <v>0</v>
      </c>
      <c r="AD23" s="88" t="n">
        <f aca="false">ROUND(IF(AQ23="7",BH23,0),2)</f>
        <v>0</v>
      </c>
      <c r="AE23" s="88" t="n">
        <f aca="false">ROUND(IF(AQ23="7",BI23,0),2)</f>
        <v>0</v>
      </c>
      <c r="AF23" s="88" t="n">
        <f aca="false">ROUND(IF(AQ23="2",BH23,0),2)</f>
        <v>0</v>
      </c>
      <c r="AG23" s="88" t="n">
        <f aca="false">ROUND(IF(AQ23="2",BI23,0),2)</f>
        <v>0</v>
      </c>
      <c r="AH23" s="88" t="n">
        <f aca="false">ROUND(IF(AQ23="0",BJ23,0),2)</f>
        <v>0</v>
      </c>
      <c r="AI23" s="116" t="s">
        <v>107</v>
      </c>
      <c r="AJ23" s="88" t="n">
        <f aca="false">IF(AN23=0,K23,0)</f>
        <v>0</v>
      </c>
      <c r="AK23" s="88" t="n">
        <f aca="false">IF(AN23=12,K23,0)</f>
        <v>0</v>
      </c>
      <c r="AL23" s="88" t="n">
        <f aca="false">IF(AN23=21,K23,0)</f>
        <v>0</v>
      </c>
      <c r="AN23" s="88" t="n">
        <v>21</v>
      </c>
      <c r="AO23" s="88" t="n">
        <f aca="false">H23*0</f>
        <v>0</v>
      </c>
      <c r="AP23" s="88" t="n">
        <f aca="false">H23*(1-0)</f>
        <v>0</v>
      </c>
      <c r="AQ23" s="87" t="s">
        <v>151</v>
      </c>
      <c r="AV23" s="88" t="n">
        <f aca="false">ROUND(AW23+AX23,2)</f>
        <v>0</v>
      </c>
      <c r="AW23" s="88" t="n">
        <f aca="false">ROUND(G23*AO23,2)</f>
        <v>0</v>
      </c>
      <c r="AX23" s="88" t="n">
        <f aca="false">ROUND(G23*AP23,2)</f>
        <v>0</v>
      </c>
      <c r="AY23" s="87" t="s">
        <v>238</v>
      </c>
      <c r="AZ23" s="87" t="s">
        <v>239</v>
      </c>
      <c r="BA23" s="116" t="s">
        <v>240</v>
      </c>
      <c r="BC23" s="88" t="n">
        <f aca="false">AW23+AX23</f>
        <v>0</v>
      </c>
      <c r="BD23" s="88" t="n">
        <f aca="false">H23/(100-BE23)*100</f>
        <v>0</v>
      </c>
      <c r="BE23" s="88" t="n">
        <v>0</v>
      </c>
      <c r="BF23" s="88" t="n">
        <f aca="false">M23</f>
        <v>0</v>
      </c>
      <c r="BH23" s="88" t="n">
        <f aca="false">G23*AO23</f>
        <v>0</v>
      </c>
      <c r="BI23" s="88" t="n">
        <f aca="false">G23*AP23</f>
        <v>0</v>
      </c>
      <c r="BJ23" s="88" t="n">
        <f aca="false">G23*H23</f>
        <v>0</v>
      </c>
      <c r="BK23" s="87" t="s">
        <v>159</v>
      </c>
      <c r="BL23" s="88" t="n">
        <v>13</v>
      </c>
      <c r="BW23" s="88" t="n">
        <v>21</v>
      </c>
      <c r="BX23" s="9" t="s">
        <v>267</v>
      </c>
    </row>
    <row r="24" customFormat="false" ht="24.05" hidden="false" customHeight="true" outlineLevel="0" collapsed="false">
      <c r="A24" s="134" t="s">
        <v>149</v>
      </c>
      <c r="B24" s="134" t="s">
        <v>107</v>
      </c>
      <c r="C24" s="134" t="s">
        <v>263</v>
      </c>
      <c r="D24" s="135" t="s">
        <v>269</v>
      </c>
      <c r="E24" s="135"/>
      <c r="F24" s="134" t="s">
        <v>189</v>
      </c>
      <c r="G24" s="136" t="n">
        <f aca="false">'Stavební rozpočet'!G50</f>
        <v>12.313</v>
      </c>
      <c r="H24" s="137" t="n">
        <f aca="false">'Stavební rozpočet'!H50</f>
        <v>0</v>
      </c>
      <c r="I24" s="137" t="n">
        <f aca="false">ROUND(G24*AO24,2)</f>
        <v>0</v>
      </c>
      <c r="J24" s="137" t="n">
        <f aca="false">ROUND(G24*AP24,2)</f>
        <v>0</v>
      </c>
      <c r="K24" s="137" t="n">
        <f aca="false">ROUND(G24*H24,2)</f>
        <v>0</v>
      </c>
      <c r="L24" s="137" t="n">
        <f aca="false">'Stavební rozpočet'!L50</f>
        <v>0</v>
      </c>
      <c r="M24" s="137" t="n">
        <f aca="false">G24*L24</f>
        <v>0</v>
      </c>
      <c r="N24" s="138" t="s">
        <v>155</v>
      </c>
      <c r="Z24" s="88" t="n">
        <f aca="false">ROUND(IF(AQ24="5",BJ24,0),2)</f>
        <v>0</v>
      </c>
      <c r="AB24" s="88" t="n">
        <f aca="false">ROUND(IF(AQ24="1",BH24,0),2)</f>
        <v>0</v>
      </c>
      <c r="AC24" s="88" t="n">
        <f aca="false">ROUND(IF(AQ24="1",BI24,0),2)</f>
        <v>0</v>
      </c>
      <c r="AD24" s="88" t="n">
        <f aca="false">ROUND(IF(AQ24="7",BH24,0),2)</f>
        <v>0</v>
      </c>
      <c r="AE24" s="88" t="n">
        <f aca="false">ROUND(IF(AQ24="7",BI24,0),2)</f>
        <v>0</v>
      </c>
      <c r="AF24" s="88" t="n">
        <f aca="false">ROUND(IF(AQ24="2",BH24,0),2)</f>
        <v>0</v>
      </c>
      <c r="AG24" s="88" t="n">
        <f aca="false">ROUND(IF(AQ24="2",BI24,0),2)</f>
        <v>0</v>
      </c>
      <c r="AH24" s="88" t="n">
        <f aca="false">ROUND(IF(AQ24="0",BJ24,0),2)</f>
        <v>0</v>
      </c>
      <c r="AI24" s="116" t="s">
        <v>107</v>
      </c>
      <c r="AJ24" s="88" t="n">
        <f aca="false">IF(AN24=0,K24,0)</f>
        <v>0</v>
      </c>
      <c r="AK24" s="88" t="n">
        <f aca="false">IF(AN24=12,K24,0)</f>
        <v>0</v>
      </c>
      <c r="AL24" s="88" t="n">
        <f aca="false">IF(AN24=21,K24,0)</f>
        <v>0</v>
      </c>
      <c r="AN24" s="88" t="n">
        <v>21</v>
      </c>
      <c r="AO24" s="88" t="n">
        <f aca="false">H24*0</f>
        <v>0</v>
      </c>
      <c r="AP24" s="88" t="n">
        <f aca="false">H24*(1-0)</f>
        <v>0</v>
      </c>
      <c r="AQ24" s="87" t="s">
        <v>151</v>
      </c>
      <c r="AV24" s="88" t="n">
        <f aca="false">ROUND(AW24+AX24,2)</f>
        <v>0</v>
      </c>
      <c r="AW24" s="88" t="n">
        <f aca="false">ROUND(G24*AO24,2)</f>
        <v>0</v>
      </c>
      <c r="AX24" s="88" t="n">
        <f aca="false">ROUND(G24*AP24,2)</f>
        <v>0</v>
      </c>
      <c r="AY24" s="87" t="s">
        <v>238</v>
      </c>
      <c r="AZ24" s="87" t="s">
        <v>239</v>
      </c>
      <c r="BA24" s="116" t="s">
        <v>240</v>
      </c>
      <c r="BC24" s="88" t="n">
        <f aca="false">AW24+AX24</f>
        <v>0</v>
      </c>
      <c r="BD24" s="88" t="n">
        <f aca="false">H24/(100-BE24)*100</f>
        <v>0</v>
      </c>
      <c r="BE24" s="88" t="n">
        <v>0</v>
      </c>
      <c r="BF24" s="88" t="n">
        <f aca="false">M24</f>
        <v>0</v>
      </c>
      <c r="BH24" s="88" t="n">
        <f aca="false">G24*AO24</f>
        <v>0</v>
      </c>
      <c r="BI24" s="88" t="n">
        <f aca="false">G24*AP24</f>
        <v>0</v>
      </c>
      <c r="BJ24" s="88" t="n">
        <f aca="false">G24*H24</f>
        <v>0</v>
      </c>
      <c r="BK24" s="87" t="s">
        <v>159</v>
      </c>
      <c r="BL24" s="88" t="n">
        <v>13</v>
      </c>
      <c r="BW24" s="88" t="n">
        <v>21</v>
      </c>
      <c r="BX24" s="9" t="s">
        <v>269</v>
      </c>
    </row>
    <row r="25" customFormat="false" ht="15" hidden="false" customHeight="true" outlineLevel="0" collapsed="false">
      <c r="A25" s="134" t="s">
        <v>199</v>
      </c>
      <c r="B25" s="134" t="s">
        <v>107</v>
      </c>
      <c r="C25" s="134" t="s">
        <v>266</v>
      </c>
      <c r="D25" s="135" t="s">
        <v>267</v>
      </c>
      <c r="E25" s="135"/>
      <c r="F25" s="134" t="s">
        <v>189</v>
      </c>
      <c r="G25" s="136" t="n">
        <f aca="false">'Stavební rozpočet'!G51</f>
        <v>184.695</v>
      </c>
      <c r="H25" s="137" t="n">
        <f aca="false">'Stavební rozpočet'!H51</f>
        <v>0</v>
      </c>
      <c r="I25" s="137" t="n">
        <f aca="false">ROUND(G25*AO25,2)</f>
        <v>0</v>
      </c>
      <c r="J25" s="137" t="n">
        <f aca="false">ROUND(G25*AP25,2)</f>
        <v>0</v>
      </c>
      <c r="K25" s="137" t="n">
        <f aca="false">ROUND(G25*H25,2)</f>
        <v>0</v>
      </c>
      <c r="L25" s="137" t="n">
        <f aca="false">'Stavební rozpočet'!L51</f>
        <v>0</v>
      </c>
      <c r="M25" s="137" t="n">
        <f aca="false">G25*L25</f>
        <v>0</v>
      </c>
      <c r="N25" s="138" t="s">
        <v>155</v>
      </c>
      <c r="Z25" s="88" t="n">
        <f aca="false">ROUND(IF(AQ25="5",BJ25,0),2)</f>
        <v>0</v>
      </c>
      <c r="AB25" s="88" t="n">
        <f aca="false">ROUND(IF(AQ25="1",BH25,0),2)</f>
        <v>0</v>
      </c>
      <c r="AC25" s="88" t="n">
        <f aca="false">ROUND(IF(AQ25="1",BI25,0),2)</f>
        <v>0</v>
      </c>
      <c r="AD25" s="88" t="n">
        <f aca="false">ROUND(IF(AQ25="7",BH25,0),2)</f>
        <v>0</v>
      </c>
      <c r="AE25" s="88" t="n">
        <f aca="false">ROUND(IF(AQ25="7",BI25,0),2)</f>
        <v>0</v>
      </c>
      <c r="AF25" s="88" t="n">
        <f aca="false">ROUND(IF(AQ25="2",BH25,0),2)</f>
        <v>0</v>
      </c>
      <c r="AG25" s="88" t="n">
        <f aca="false">ROUND(IF(AQ25="2",BI25,0),2)</f>
        <v>0</v>
      </c>
      <c r="AH25" s="88" t="n">
        <f aca="false">ROUND(IF(AQ25="0",BJ25,0),2)</f>
        <v>0</v>
      </c>
      <c r="AI25" s="116" t="s">
        <v>107</v>
      </c>
      <c r="AJ25" s="88" t="n">
        <f aca="false">IF(AN25=0,K25,0)</f>
        <v>0</v>
      </c>
      <c r="AK25" s="88" t="n">
        <f aca="false">IF(AN25=12,K25,0)</f>
        <v>0</v>
      </c>
      <c r="AL25" s="88" t="n">
        <f aca="false">IF(AN25=21,K25,0)</f>
        <v>0</v>
      </c>
      <c r="AN25" s="88" t="n">
        <v>21</v>
      </c>
      <c r="AO25" s="88" t="n">
        <f aca="false">H25*0</f>
        <v>0</v>
      </c>
      <c r="AP25" s="88" t="n">
        <f aca="false">H25*(1-0)</f>
        <v>0</v>
      </c>
      <c r="AQ25" s="87" t="s">
        <v>151</v>
      </c>
      <c r="AV25" s="88" t="n">
        <f aca="false">ROUND(AW25+AX25,2)</f>
        <v>0</v>
      </c>
      <c r="AW25" s="88" t="n">
        <f aca="false">ROUND(G25*AO25,2)</f>
        <v>0</v>
      </c>
      <c r="AX25" s="88" t="n">
        <f aca="false">ROUND(G25*AP25,2)</f>
        <v>0</v>
      </c>
      <c r="AY25" s="87" t="s">
        <v>238</v>
      </c>
      <c r="AZ25" s="87" t="s">
        <v>239</v>
      </c>
      <c r="BA25" s="116" t="s">
        <v>240</v>
      </c>
      <c r="BC25" s="88" t="n">
        <f aca="false">AW25+AX25</f>
        <v>0</v>
      </c>
      <c r="BD25" s="88" t="n">
        <f aca="false">H25/(100-BE25)*100</f>
        <v>0</v>
      </c>
      <c r="BE25" s="88" t="n">
        <v>0</v>
      </c>
      <c r="BF25" s="88" t="n">
        <f aca="false">M25</f>
        <v>0</v>
      </c>
      <c r="BH25" s="88" t="n">
        <f aca="false">G25*AO25</f>
        <v>0</v>
      </c>
      <c r="BI25" s="88" t="n">
        <f aca="false">G25*AP25</f>
        <v>0</v>
      </c>
      <c r="BJ25" s="88" t="n">
        <f aca="false">G25*H25</f>
        <v>0</v>
      </c>
      <c r="BK25" s="87" t="s">
        <v>159</v>
      </c>
      <c r="BL25" s="88" t="n">
        <v>13</v>
      </c>
      <c r="BW25" s="88" t="n">
        <v>21</v>
      </c>
      <c r="BX25" s="9" t="s">
        <v>267</v>
      </c>
    </row>
    <row r="26" customFormat="false" ht="15" hidden="false" customHeight="true" outlineLevel="0" collapsed="false">
      <c r="A26" s="134" t="s">
        <v>206</v>
      </c>
      <c r="B26" s="134" t="s">
        <v>107</v>
      </c>
      <c r="C26" s="134" t="s">
        <v>272</v>
      </c>
      <c r="D26" s="135" t="s">
        <v>273</v>
      </c>
      <c r="E26" s="135"/>
      <c r="F26" s="134" t="s">
        <v>189</v>
      </c>
      <c r="G26" s="136" t="n">
        <f aca="false">'Stavební rozpočet'!G52</f>
        <v>12.313</v>
      </c>
      <c r="H26" s="137" t="n">
        <f aca="false">'Stavební rozpočet'!H52</f>
        <v>0</v>
      </c>
      <c r="I26" s="137" t="n">
        <f aca="false">ROUND(G26*AO26,2)</f>
        <v>0</v>
      </c>
      <c r="J26" s="137" t="n">
        <f aca="false">ROUND(G26*AP26,2)</f>
        <v>0</v>
      </c>
      <c r="K26" s="137" t="n">
        <f aca="false">ROUND(G26*H26,2)</f>
        <v>0</v>
      </c>
      <c r="L26" s="137" t="n">
        <f aca="false">'Stavební rozpočet'!L52</f>
        <v>0</v>
      </c>
      <c r="M26" s="137" t="n">
        <f aca="false">G26*L26</f>
        <v>0</v>
      </c>
      <c r="N26" s="138" t="s">
        <v>155</v>
      </c>
      <c r="Z26" s="88" t="n">
        <f aca="false">ROUND(IF(AQ26="5",BJ26,0),2)</f>
        <v>0</v>
      </c>
      <c r="AB26" s="88" t="n">
        <f aca="false">ROUND(IF(AQ26="1",BH26,0),2)</f>
        <v>0</v>
      </c>
      <c r="AC26" s="88" t="n">
        <f aca="false">ROUND(IF(AQ26="1",BI26,0),2)</f>
        <v>0</v>
      </c>
      <c r="AD26" s="88" t="n">
        <f aca="false">ROUND(IF(AQ26="7",BH26,0),2)</f>
        <v>0</v>
      </c>
      <c r="AE26" s="88" t="n">
        <f aca="false">ROUND(IF(AQ26="7",BI26,0),2)</f>
        <v>0</v>
      </c>
      <c r="AF26" s="88" t="n">
        <f aca="false">ROUND(IF(AQ26="2",BH26,0),2)</f>
        <v>0</v>
      </c>
      <c r="AG26" s="88" t="n">
        <f aca="false">ROUND(IF(AQ26="2",BI26,0),2)</f>
        <v>0</v>
      </c>
      <c r="AH26" s="88" t="n">
        <f aca="false">ROUND(IF(AQ26="0",BJ26,0),2)</f>
        <v>0</v>
      </c>
      <c r="AI26" s="116" t="s">
        <v>107</v>
      </c>
      <c r="AJ26" s="88" t="n">
        <f aca="false">IF(AN26=0,K26,0)</f>
        <v>0</v>
      </c>
      <c r="AK26" s="88" t="n">
        <f aca="false">IF(AN26=12,K26,0)</f>
        <v>0</v>
      </c>
      <c r="AL26" s="88" t="n">
        <f aca="false">IF(AN26=21,K26,0)</f>
        <v>0</v>
      </c>
      <c r="AN26" s="88" t="n">
        <v>21</v>
      </c>
      <c r="AO26" s="88" t="n">
        <f aca="false">H26*0</f>
        <v>0</v>
      </c>
      <c r="AP26" s="88" t="n">
        <f aca="false">H26*(1-0)</f>
        <v>0</v>
      </c>
      <c r="AQ26" s="87" t="s">
        <v>151</v>
      </c>
      <c r="AV26" s="88" t="n">
        <f aca="false">ROUND(AW26+AX26,2)</f>
        <v>0</v>
      </c>
      <c r="AW26" s="88" t="n">
        <f aca="false">ROUND(G26*AO26,2)</f>
        <v>0</v>
      </c>
      <c r="AX26" s="88" t="n">
        <f aca="false">ROUND(G26*AP26,2)</f>
        <v>0</v>
      </c>
      <c r="AY26" s="87" t="s">
        <v>238</v>
      </c>
      <c r="AZ26" s="87" t="s">
        <v>239</v>
      </c>
      <c r="BA26" s="116" t="s">
        <v>240</v>
      </c>
      <c r="BC26" s="88" t="n">
        <f aca="false">AW26+AX26</f>
        <v>0</v>
      </c>
      <c r="BD26" s="88" t="n">
        <f aca="false">H26/(100-BE26)*100</f>
        <v>0</v>
      </c>
      <c r="BE26" s="88" t="n">
        <v>0</v>
      </c>
      <c r="BF26" s="88" t="n">
        <f aca="false">M26</f>
        <v>0</v>
      </c>
      <c r="BH26" s="88" t="n">
        <f aca="false">G26*AO26</f>
        <v>0</v>
      </c>
      <c r="BI26" s="88" t="n">
        <f aca="false">G26*AP26</f>
        <v>0</v>
      </c>
      <c r="BJ26" s="88" t="n">
        <f aca="false">G26*H26</f>
        <v>0</v>
      </c>
      <c r="BK26" s="87" t="s">
        <v>159</v>
      </c>
      <c r="BL26" s="88" t="n">
        <v>13</v>
      </c>
      <c r="BW26" s="88" t="n">
        <v>21</v>
      </c>
      <c r="BX26" s="9" t="s">
        <v>273</v>
      </c>
    </row>
    <row r="27" customFormat="false" ht="15" hidden="false" customHeight="true" outlineLevel="0" collapsed="false">
      <c r="A27" s="128"/>
      <c r="B27" s="129" t="s">
        <v>107</v>
      </c>
      <c r="C27" s="129" t="s">
        <v>274</v>
      </c>
      <c r="D27" s="130" t="s">
        <v>275</v>
      </c>
      <c r="E27" s="130"/>
      <c r="F27" s="128" t="s">
        <v>97</v>
      </c>
      <c r="G27" s="131" t="s">
        <v>97</v>
      </c>
      <c r="H27" s="128" t="s">
        <v>97</v>
      </c>
      <c r="I27" s="132" t="n">
        <f aca="false">ROUND(SUM(I28:I41),2)</f>
        <v>0</v>
      </c>
      <c r="J27" s="132" t="n">
        <f aca="false">ROUND(SUM(J28:J41),2)</f>
        <v>0</v>
      </c>
      <c r="K27" s="132" t="n">
        <f aca="false">ROUND(SUM(K28:K41),2)</f>
        <v>0</v>
      </c>
      <c r="L27" s="133"/>
      <c r="M27" s="132" t="n">
        <f aca="false">SUM(M28:M41)</f>
        <v>35.206983</v>
      </c>
      <c r="N27" s="133"/>
      <c r="AI27" s="116" t="s">
        <v>107</v>
      </c>
      <c r="AS27" s="107" t="n">
        <f aca="false">SUM(AJ28:AJ41)</f>
        <v>0</v>
      </c>
      <c r="AT27" s="107" t="n">
        <f aca="false">SUM(AK28:AK41)</f>
        <v>0</v>
      </c>
      <c r="AU27" s="107" t="n">
        <f aca="false">SUM(AL28:AL41)</f>
        <v>0</v>
      </c>
    </row>
    <row r="28" customFormat="false" ht="15" hidden="false" customHeight="true" outlineLevel="0" collapsed="false">
      <c r="A28" s="134" t="s">
        <v>210</v>
      </c>
      <c r="B28" s="134" t="s">
        <v>107</v>
      </c>
      <c r="C28" s="134" t="s">
        <v>277</v>
      </c>
      <c r="D28" s="135" t="s">
        <v>278</v>
      </c>
      <c r="E28" s="135"/>
      <c r="F28" s="134" t="s">
        <v>169</v>
      </c>
      <c r="G28" s="136" t="n">
        <f aca="false">'Stavební rozpočet'!G54</f>
        <v>6.7</v>
      </c>
      <c r="H28" s="137" t="n">
        <f aca="false">'Stavební rozpočet'!H54</f>
        <v>0</v>
      </c>
      <c r="I28" s="137" t="n">
        <f aca="false">ROUND(G28*AO28,2)</f>
        <v>0</v>
      </c>
      <c r="J28" s="137" t="n">
        <f aca="false">ROUND(G28*AP28,2)</f>
        <v>0</v>
      </c>
      <c r="K28" s="137" t="n">
        <f aca="false">ROUND(G28*H28,2)</f>
        <v>0</v>
      </c>
      <c r="L28" s="137" t="n">
        <f aca="false">'Stavební rozpočet'!L54</f>
        <v>0</v>
      </c>
      <c r="M28" s="137" t="n">
        <f aca="false">G28*L28</f>
        <v>0</v>
      </c>
      <c r="N28" s="138" t="s">
        <v>155</v>
      </c>
      <c r="Z28" s="88" t="n">
        <f aca="false">ROUND(IF(AQ28="5",BJ28,0),2)</f>
        <v>0</v>
      </c>
      <c r="AB28" s="88" t="n">
        <f aca="false">ROUND(IF(AQ28="1",BH28,0),2)</f>
        <v>0</v>
      </c>
      <c r="AC28" s="88" t="n">
        <f aca="false">ROUND(IF(AQ28="1",BI28,0),2)</f>
        <v>0</v>
      </c>
      <c r="AD28" s="88" t="n">
        <f aca="false">ROUND(IF(AQ28="7",BH28,0),2)</f>
        <v>0</v>
      </c>
      <c r="AE28" s="88" t="n">
        <f aca="false">ROUND(IF(AQ28="7",BI28,0),2)</f>
        <v>0</v>
      </c>
      <c r="AF28" s="88" t="n">
        <f aca="false">ROUND(IF(AQ28="2",BH28,0),2)</f>
        <v>0</v>
      </c>
      <c r="AG28" s="88" t="n">
        <f aca="false">ROUND(IF(AQ28="2",BI28,0),2)</f>
        <v>0</v>
      </c>
      <c r="AH28" s="88" t="n">
        <f aca="false">ROUND(IF(AQ28="0",BJ28,0),2)</f>
        <v>0</v>
      </c>
      <c r="AI28" s="116" t="s">
        <v>107</v>
      </c>
      <c r="AJ28" s="88" t="n">
        <f aca="false">IF(AN28=0,K28,0)</f>
        <v>0</v>
      </c>
      <c r="AK28" s="88" t="n">
        <f aca="false">IF(AN28=12,K28,0)</f>
        <v>0</v>
      </c>
      <c r="AL28" s="88" t="n">
        <f aca="false">IF(AN28=21,K28,0)</f>
        <v>0</v>
      </c>
      <c r="AN28" s="88" t="n">
        <v>21</v>
      </c>
      <c r="AO28" s="88" t="n">
        <f aca="false">H28*0</f>
        <v>0</v>
      </c>
      <c r="AP28" s="88" t="n">
        <f aca="false">H28*(1-0)</f>
        <v>0</v>
      </c>
      <c r="AQ28" s="87" t="s">
        <v>151</v>
      </c>
      <c r="AV28" s="88" t="n">
        <f aca="false">ROUND(AW28+AX28,2)</f>
        <v>0</v>
      </c>
      <c r="AW28" s="88" t="n">
        <f aca="false">ROUND(G28*AO28,2)</f>
        <v>0</v>
      </c>
      <c r="AX28" s="88" t="n">
        <f aca="false">ROUND(G28*AP28,2)</f>
        <v>0</v>
      </c>
      <c r="AY28" s="87" t="s">
        <v>279</v>
      </c>
      <c r="AZ28" s="87" t="s">
        <v>280</v>
      </c>
      <c r="BA28" s="116" t="s">
        <v>240</v>
      </c>
      <c r="BC28" s="88" t="n">
        <f aca="false">AW28+AX28</f>
        <v>0</v>
      </c>
      <c r="BD28" s="88" t="n">
        <f aca="false">H28/(100-BE28)*100</f>
        <v>0</v>
      </c>
      <c r="BE28" s="88" t="n">
        <v>0</v>
      </c>
      <c r="BF28" s="88" t="n">
        <f aca="false">M28</f>
        <v>0</v>
      </c>
      <c r="BH28" s="88" t="n">
        <f aca="false">G28*AO28</f>
        <v>0</v>
      </c>
      <c r="BI28" s="88" t="n">
        <f aca="false">G28*AP28</f>
        <v>0</v>
      </c>
      <c r="BJ28" s="88" t="n">
        <f aca="false">G28*H28</f>
        <v>0</v>
      </c>
      <c r="BK28" s="87" t="s">
        <v>159</v>
      </c>
      <c r="BL28" s="88" t="n">
        <v>59</v>
      </c>
      <c r="BW28" s="88" t="n">
        <v>21</v>
      </c>
      <c r="BX28" s="9" t="s">
        <v>278</v>
      </c>
    </row>
    <row r="29" customFormat="false" ht="15" hidden="false" customHeight="true" outlineLevel="0" collapsed="false">
      <c r="A29" s="134" t="s">
        <v>213</v>
      </c>
      <c r="B29" s="134" t="s">
        <v>107</v>
      </c>
      <c r="C29" s="134" t="s">
        <v>282</v>
      </c>
      <c r="D29" s="135" t="s">
        <v>283</v>
      </c>
      <c r="E29" s="135"/>
      <c r="F29" s="134" t="s">
        <v>169</v>
      </c>
      <c r="G29" s="136" t="n">
        <f aca="false">'Stavební rozpočet'!G55</f>
        <v>6.7</v>
      </c>
      <c r="H29" s="137" t="n">
        <f aca="false">'Stavební rozpočet'!H55</f>
        <v>0</v>
      </c>
      <c r="I29" s="137" t="n">
        <f aca="false">ROUND(G29*AO29,2)</f>
        <v>0</v>
      </c>
      <c r="J29" s="137" t="n">
        <f aca="false">ROUND(G29*AP29,2)</f>
        <v>0</v>
      </c>
      <c r="K29" s="137" t="n">
        <f aca="false">ROUND(G29*H29,2)</f>
        <v>0</v>
      </c>
      <c r="L29" s="137" t="n">
        <f aca="false">'Stavební rozpočet'!L55</f>
        <v>0.0739</v>
      </c>
      <c r="M29" s="137" t="n">
        <f aca="false">G29*L29</f>
        <v>0.49513</v>
      </c>
      <c r="N29" s="138" t="s">
        <v>155</v>
      </c>
      <c r="Z29" s="88" t="n">
        <f aca="false">ROUND(IF(AQ29="5",BJ29,0),2)</f>
        <v>0</v>
      </c>
      <c r="AB29" s="88" t="n">
        <f aca="false">ROUND(IF(AQ29="1",BH29,0),2)</f>
        <v>0</v>
      </c>
      <c r="AC29" s="88" t="n">
        <f aca="false">ROUND(IF(AQ29="1",BI29,0),2)</f>
        <v>0</v>
      </c>
      <c r="AD29" s="88" t="n">
        <f aca="false">ROUND(IF(AQ29="7",BH29,0),2)</f>
        <v>0</v>
      </c>
      <c r="AE29" s="88" t="n">
        <f aca="false">ROUND(IF(AQ29="7",BI29,0),2)</f>
        <v>0</v>
      </c>
      <c r="AF29" s="88" t="n">
        <f aca="false">ROUND(IF(AQ29="2",BH29,0),2)</f>
        <v>0</v>
      </c>
      <c r="AG29" s="88" t="n">
        <f aca="false">ROUND(IF(AQ29="2",BI29,0),2)</f>
        <v>0</v>
      </c>
      <c r="AH29" s="88" t="n">
        <f aca="false">ROUND(IF(AQ29="0",BJ29,0),2)</f>
        <v>0</v>
      </c>
      <c r="AI29" s="116" t="s">
        <v>107</v>
      </c>
      <c r="AJ29" s="88" t="n">
        <f aca="false">IF(AN29=0,K29,0)</f>
        <v>0</v>
      </c>
      <c r="AK29" s="88" t="n">
        <f aca="false">IF(AN29=12,K29,0)</f>
        <v>0</v>
      </c>
      <c r="AL29" s="88" t="n">
        <f aca="false">IF(AN29=21,K29,0)</f>
        <v>0</v>
      </c>
      <c r="AN29" s="88" t="n">
        <v>21</v>
      </c>
      <c r="AO29" s="88" t="n">
        <f aca="false">H29*0.156479075</f>
        <v>0</v>
      </c>
      <c r="AP29" s="88" t="n">
        <f aca="false">H29*(1-0.156479075)</f>
        <v>0</v>
      </c>
      <c r="AQ29" s="87" t="s">
        <v>151</v>
      </c>
      <c r="AV29" s="88" t="n">
        <f aca="false">ROUND(AW29+AX29,2)</f>
        <v>0</v>
      </c>
      <c r="AW29" s="88" t="n">
        <f aca="false">ROUND(G29*AO29,2)</f>
        <v>0</v>
      </c>
      <c r="AX29" s="88" t="n">
        <f aca="false">ROUND(G29*AP29,2)</f>
        <v>0</v>
      </c>
      <c r="AY29" s="87" t="s">
        <v>279</v>
      </c>
      <c r="AZ29" s="87" t="s">
        <v>280</v>
      </c>
      <c r="BA29" s="116" t="s">
        <v>240</v>
      </c>
      <c r="BC29" s="88" t="n">
        <f aca="false">AW29+AX29</f>
        <v>0</v>
      </c>
      <c r="BD29" s="88" t="n">
        <f aca="false">H29/(100-BE29)*100</f>
        <v>0</v>
      </c>
      <c r="BE29" s="88" t="n">
        <v>0</v>
      </c>
      <c r="BF29" s="88" t="n">
        <f aca="false">M29</f>
        <v>0.49513</v>
      </c>
      <c r="BH29" s="88" t="n">
        <f aca="false">G29*AO29</f>
        <v>0</v>
      </c>
      <c r="BI29" s="88" t="n">
        <f aca="false">G29*AP29</f>
        <v>0</v>
      </c>
      <c r="BJ29" s="88" t="n">
        <f aca="false">G29*H29</f>
        <v>0</v>
      </c>
      <c r="BK29" s="87" t="s">
        <v>159</v>
      </c>
      <c r="BL29" s="88" t="n">
        <v>59</v>
      </c>
      <c r="BW29" s="88" t="n">
        <v>21</v>
      </c>
      <c r="BX29" s="9" t="s">
        <v>283</v>
      </c>
    </row>
    <row r="30" customFormat="false" ht="23.85" hidden="false" customHeight="true" outlineLevel="0" collapsed="false">
      <c r="A30" s="139" t="s">
        <v>216</v>
      </c>
      <c r="B30" s="139" t="s">
        <v>107</v>
      </c>
      <c r="C30" s="139" t="s">
        <v>285</v>
      </c>
      <c r="D30" s="140" t="s">
        <v>286</v>
      </c>
      <c r="E30" s="140"/>
      <c r="F30" s="139" t="s">
        <v>169</v>
      </c>
      <c r="G30" s="141" t="n">
        <f aca="false">'Stavební rozpočet'!G56</f>
        <v>6.767</v>
      </c>
      <c r="H30" s="142" t="n">
        <f aca="false">'Stavební rozpočet'!H56</f>
        <v>0</v>
      </c>
      <c r="I30" s="142" t="n">
        <f aca="false">ROUND(G30*AO30,2)</f>
        <v>0</v>
      </c>
      <c r="J30" s="142" t="n">
        <f aca="false">ROUND(G30*AP30,2)</f>
        <v>0</v>
      </c>
      <c r="K30" s="142" t="n">
        <f aca="false">ROUND(G30*H30,2)</f>
        <v>0</v>
      </c>
      <c r="L30" s="142" t="n">
        <f aca="false">'Stavební rozpočet'!L56</f>
        <v>0.131</v>
      </c>
      <c r="M30" s="142" t="n">
        <f aca="false">G30*L30</f>
        <v>0.886477</v>
      </c>
      <c r="N30" s="143" t="s">
        <v>155</v>
      </c>
      <c r="Z30" s="88" t="n">
        <f aca="false">ROUND(IF(AQ30="5",BJ30,0),2)</f>
        <v>0</v>
      </c>
      <c r="AB30" s="88" t="n">
        <f aca="false">ROUND(IF(AQ30="1",BH30,0),2)</f>
        <v>0</v>
      </c>
      <c r="AC30" s="88" t="n">
        <f aca="false">ROUND(IF(AQ30="1",BI30,0),2)</f>
        <v>0</v>
      </c>
      <c r="AD30" s="88" t="n">
        <f aca="false">ROUND(IF(AQ30="7",BH30,0),2)</f>
        <v>0</v>
      </c>
      <c r="AE30" s="88" t="n">
        <f aca="false">ROUND(IF(AQ30="7",BI30,0),2)</f>
        <v>0</v>
      </c>
      <c r="AF30" s="88" t="n">
        <f aca="false">ROUND(IF(AQ30="2",BH30,0),2)</f>
        <v>0</v>
      </c>
      <c r="AG30" s="88" t="n">
        <f aca="false">ROUND(IF(AQ30="2",BI30,0),2)</f>
        <v>0</v>
      </c>
      <c r="AH30" s="88" t="n">
        <f aca="false">ROUND(IF(AQ30="0",BJ30,0),2)</f>
        <v>0</v>
      </c>
      <c r="AI30" s="116" t="s">
        <v>107</v>
      </c>
      <c r="AJ30" s="144" t="n">
        <f aca="false">IF(AN30=0,K30,0)</f>
        <v>0</v>
      </c>
      <c r="AK30" s="144" t="n">
        <f aca="false">IF(AN30=12,K30,0)</f>
        <v>0</v>
      </c>
      <c r="AL30" s="144" t="n">
        <f aca="false">IF(AN30=21,K30,0)</f>
        <v>0</v>
      </c>
      <c r="AN30" s="88" t="n">
        <v>21</v>
      </c>
      <c r="AO30" s="88" t="n">
        <f aca="false">H30*1</f>
        <v>0</v>
      </c>
      <c r="AP30" s="88" t="n">
        <f aca="false">H30*(1-1)</f>
        <v>0</v>
      </c>
      <c r="AQ30" s="145" t="s">
        <v>151</v>
      </c>
      <c r="AV30" s="88" t="n">
        <f aca="false">ROUND(AW30+AX30,2)</f>
        <v>0</v>
      </c>
      <c r="AW30" s="88" t="n">
        <f aca="false">ROUND(G30*AO30,2)</f>
        <v>0</v>
      </c>
      <c r="AX30" s="88" t="n">
        <f aca="false">ROUND(G30*AP30,2)</f>
        <v>0</v>
      </c>
      <c r="AY30" s="87" t="s">
        <v>279</v>
      </c>
      <c r="AZ30" s="87" t="s">
        <v>280</v>
      </c>
      <c r="BA30" s="116" t="s">
        <v>240</v>
      </c>
      <c r="BC30" s="88" t="n">
        <f aca="false">AW30+AX30</f>
        <v>0</v>
      </c>
      <c r="BD30" s="88" t="n">
        <f aca="false">H30/(100-BE30)*100</f>
        <v>0</v>
      </c>
      <c r="BE30" s="88" t="n">
        <v>0</v>
      </c>
      <c r="BF30" s="88" t="n">
        <f aca="false">M30</f>
        <v>0.886477</v>
      </c>
      <c r="BH30" s="144" t="n">
        <f aca="false">G30*AO30</f>
        <v>0</v>
      </c>
      <c r="BI30" s="144" t="n">
        <f aca="false">G30*AP30</f>
        <v>0</v>
      </c>
      <c r="BJ30" s="144" t="n">
        <f aca="false">G30*H30</f>
        <v>0</v>
      </c>
      <c r="BK30" s="145" t="s">
        <v>180</v>
      </c>
      <c r="BL30" s="88" t="n">
        <v>59</v>
      </c>
      <c r="BW30" s="88" t="n">
        <v>21</v>
      </c>
      <c r="BX30" s="146" t="s">
        <v>286</v>
      </c>
    </row>
    <row r="31" customFormat="false" ht="15" hidden="false" customHeight="true" outlineLevel="0" collapsed="false">
      <c r="A31" s="134" t="s">
        <v>219</v>
      </c>
      <c r="B31" s="134" t="s">
        <v>107</v>
      </c>
      <c r="C31" s="134" t="s">
        <v>288</v>
      </c>
      <c r="D31" s="135" t="s">
        <v>289</v>
      </c>
      <c r="E31" s="135"/>
      <c r="F31" s="134" t="s">
        <v>169</v>
      </c>
      <c r="G31" s="136" t="n">
        <f aca="false">'Stavební rozpočet'!G57</f>
        <v>6.7</v>
      </c>
      <c r="H31" s="137" t="n">
        <f aca="false">'Stavební rozpočet'!H57</f>
        <v>0</v>
      </c>
      <c r="I31" s="137" t="n">
        <f aca="false">ROUND(G31*AO31,2)</f>
        <v>0</v>
      </c>
      <c r="J31" s="137" t="n">
        <f aca="false">ROUND(G31*AP31,2)</f>
        <v>0</v>
      </c>
      <c r="K31" s="137" t="n">
        <f aca="false">ROUND(G31*H31,2)</f>
        <v>0</v>
      </c>
      <c r="L31" s="137" t="n">
        <f aca="false">'Stavební rozpočet'!L57</f>
        <v>0.46</v>
      </c>
      <c r="M31" s="137" t="n">
        <f aca="false">G31*L31</f>
        <v>3.082</v>
      </c>
      <c r="N31" s="138" t="s">
        <v>155</v>
      </c>
      <c r="Z31" s="88" t="n">
        <f aca="false">ROUND(IF(AQ31="5",BJ31,0),2)</f>
        <v>0</v>
      </c>
      <c r="AB31" s="88" t="n">
        <f aca="false">ROUND(IF(AQ31="1",BH31,0),2)</f>
        <v>0</v>
      </c>
      <c r="AC31" s="88" t="n">
        <f aca="false">ROUND(IF(AQ31="1",BI31,0),2)</f>
        <v>0</v>
      </c>
      <c r="AD31" s="88" t="n">
        <f aca="false">ROUND(IF(AQ31="7",BH31,0),2)</f>
        <v>0</v>
      </c>
      <c r="AE31" s="88" t="n">
        <f aca="false">ROUND(IF(AQ31="7",BI31,0),2)</f>
        <v>0</v>
      </c>
      <c r="AF31" s="88" t="n">
        <f aca="false">ROUND(IF(AQ31="2",BH31,0),2)</f>
        <v>0</v>
      </c>
      <c r="AG31" s="88" t="n">
        <f aca="false">ROUND(IF(AQ31="2",BI31,0),2)</f>
        <v>0</v>
      </c>
      <c r="AH31" s="88" t="n">
        <f aca="false">ROUND(IF(AQ31="0",BJ31,0),2)</f>
        <v>0</v>
      </c>
      <c r="AI31" s="116" t="s">
        <v>107</v>
      </c>
      <c r="AJ31" s="88" t="n">
        <f aca="false">IF(AN31=0,K31,0)</f>
        <v>0</v>
      </c>
      <c r="AK31" s="88" t="n">
        <f aca="false">IF(AN31=12,K31,0)</f>
        <v>0</v>
      </c>
      <c r="AL31" s="88" t="n">
        <f aca="false">IF(AN31=21,K31,0)</f>
        <v>0</v>
      </c>
      <c r="AN31" s="88" t="n">
        <v>21</v>
      </c>
      <c r="AO31" s="88" t="n">
        <f aca="false">H31*0.832941848</f>
        <v>0</v>
      </c>
      <c r="AP31" s="88" t="n">
        <f aca="false">H31*(1-0.832941848)</f>
        <v>0</v>
      </c>
      <c r="AQ31" s="87" t="s">
        <v>151</v>
      </c>
      <c r="AV31" s="88" t="n">
        <f aca="false">ROUND(AW31+AX31,2)</f>
        <v>0</v>
      </c>
      <c r="AW31" s="88" t="n">
        <f aca="false">ROUND(G31*AO31,2)</f>
        <v>0</v>
      </c>
      <c r="AX31" s="88" t="n">
        <f aca="false">ROUND(G31*AP31,2)</f>
        <v>0</v>
      </c>
      <c r="AY31" s="87" t="s">
        <v>279</v>
      </c>
      <c r="AZ31" s="87" t="s">
        <v>280</v>
      </c>
      <c r="BA31" s="116" t="s">
        <v>240</v>
      </c>
      <c r="BC31" s="88" t="n">
        <f aca="false">AW31+AX31</f>
        <v>0</v>
      </c>
      <c r="BD31" s="88" t="n">
        <f aca="false">H31/(100-BE31)*100</f>
        <v>0</v>
      </c>
      <c r="BE31" s="88" t="n">
        <v>0</v>
      </c>
      <c r="BF31" s="88" t="n">
        <f aca="false">M31</f>
        <v>3.082</v>
      </c>
      <c r="BH31" s="88" t="n">
        <f aca="false">G31*AO31</f>
        <v>0</v>
      </c>
      <c r="BI31" s="88" t="n">
        <f aca="false">G31*AP31</f>
        <v>0</v>
      </c>
      <c r="BJ31" s="88" t="n">
        <f aca="false">G31*H31</f>
        <v>0</v>
      </c>
      <c r="BK31" s="87" t="s">
        <v>159</v>
      </c>
      <c r="BL31" s="88" t="n">
        <v>59</v>
      </c>
      <c r="BW31" s="88" t="n">
        <v>21</v>
      </c>
      <c r="BX31" s="9" t="s">
        <v>289</v>
      </c>
    </row>
    <row r="32" customFormat="false" ht="15" hidden="false" customHeight="true" outlineLevel="0" collapsed="false">
      <c r="A32" s="134" t="s">
        <v>222</v>
      </c>
      <c r="B32" s="134" t="s">
        <v>107</v>
      </c>
      <c r="C32" s="134" t="s">
        <v>291</v>
      </c>
      <c r="D32" s="135" t="s">
        <v>292</v>
      </c>
      <c r="E32" s="135"/>
      <c r="F32" s="134" t="s">
        <v>154</v>
      </c>
      <c r="G32" s="136" t="n">
        <f aca="false">'Stavební rozpočet'!G58</f>
        <v>5.8</v>
      </c>
      <c r="H32" s="137" t="n">
        <f aca="false">'Stavební rozpočet'!H58</f>
        <v>0</v>
      </c>
      <c r="I32" s="137" t="n">
        <f aca="false">ROUND(G32*AO32,2)</f>
        <v>0</v>
      </c>
      <c r="J32" s="137" t="n">
        <f aca="false">ROUND(G32*AP32,2)</f>
        <v>0</v>
      </c>
      <c r="K32" s="137" t="n">
        <f aca="false">ROUND(G32*H32,2)</f>
        <v>0</v>
      </c>
      <c r="L32" s="137" t="n">
        <f aca="false">'Stavební rozpočet'!L58</f>
        <v>0.00033</v>
      </c>
      <c r="M32" s="137" t="n">
        <f aca="false">G32*L32</f>
        <v>0.001914</v>
      </c>
      <c r="N32" s="138" t="s">
        <v>155</v>
      </c>
      <c r="Z32" s="88" t="n">
        <f aca="false">ROUND(IF(AQ32="5",BJ32,0),2)</f>
        <v>0</v>
      </c>
      <c r="AB32" s="88" t="n">
        <f aca="false">ROUND(IF(AQ32="1",BH32,0),2)</f>
        <v>0</v>
      </c>
      <c r="AC32" s="88" t="n">
        <f aca="false">ROUND(IF(AQ32="1",BI32,0),2)</f>
        <v>0</v>
      </c>
      <c r="AD32" s="88" t="n">
        <f aca="false">ROUND(IF(AQ32="7",BH32,0),2)</f>
        <v>0</v>
      </c>
      <c r="AE32" s="88" t="n">
        <f aca="false">ROUND(IF(AQ32="7",BI32,0),2)</f>
        <v>0</v>
      </c>
      <c r="AF32" s="88" t="n">
        <f aca="false">ROUND(IF(AQ32="2",BH32,0),2)</f>
        <v>0</v>
      </c>
      <c r="AG32" s="88" t="n">
        <f aca="false">ROUND(IF(AQ32="2",BI32,0),2)</f>
        <v>0</v>
      </c>
      <c r="AH32" s="88" t="n">
        <f aca="false">ROUND(IF(AQ32="0",BJ32,0),2)</f>
        <v>0</v>
      </c>
      <c r="AI32" s="116" t="s">
        <v>107</v>
      </c>
      <c r="AJ32" s="88" t="n">
        <f aca="false">IF(AN32=0,K32,0)</f>
        <v>0</v>
      </c>
      <c r="AK32" s="88" t="n">
        <f aca="false">IF(AN32=12,K32,0)</f>
        <v>0</v>
      </c>
      <c r="AL32" s="88" t="n">
        <f aca="false">IF(AN32=21,K32,0)</f>
        <v>0</v>
      </c>
      <c r="AN32" s="88" t="n">
        <v>21</v>
      </c>
      <c r="AO32" s="88" t="n">
        <f aca="false">H32*0.038563746</f>
        <v>0</v>
      </c>
      <c r="AP32" s="88" t="n">
        <f aca="false">H32*(1-0.038563746)</f>
        <v>0</v>
      </c>
      <c r="AQ32" s="87" t="s">
        <v>151</v>
      </c>
      <c r="AV32" s="88" t="n">
        <f aca="false">ROUND(AW32+AX32,2)</f>
        <v>0</v>
      </c>
      <c r="AW32" s="88" t="n">
        <f aca="false">ROUND(G32*AO32,2)</f>
        <v>0</v>
      </c>
      <c r="AX32" s="88" t="n">
        <f aca="false">ROUND(G32*AP32,2)</f>
        <v>0</v>
      </c>
      <c r="AY32" s="87" t="s">
        <v>279</v>
      </c>
      <c r="AZ32" s="87" t="s">
        <v>280</v>
      </c>
      <c r="BA32" s="116" t="s">
        <v>240</v>
      </c>
      <c r="BC32" s="88" t="n">
        <f aca="false">AW32+AX32</f>
        <v>0</v>
      </c>
      <c r="BD32" s="88" t="n">
        <f aca="false">H32/(100-BE32)*100</f>
        <v>0</v>
      </c>
      <c r="BE32" s="88" t="n">
        <v>0</v>
      </c>
      <c r="BF32" s="88" t="n">
        <f aca="false">M32</f>
        <v>0.001914</v>
      </c>
      <c r="BH32" s="88" t="n">
        <f aca="false">G32*AO32</f>
        <v>0</v>
      </c>
      <c r="BI32" s="88" t="n">
        <f aca="false">G32*AP32</f>
        <v>0</v>
      </c>
      <c r="BJ32" s="88" t="n">
        <f aca="false">G32*H32</f>
        <v>0</v>
      </c>
      <c r="BK32" s="87" t="s">
        <v>159</v>
      </c>
      <c r="BL32" s="88" t="n">
        <v>59</v>
      </c>
      <c r="BW32" s="88" t="n">
        <v>21</v>
      </c>
      <c r="BX32" s="9" t="s">
        <v>292</v>
      </c>
    </row>
    <row r="33" customFormat="false" ht="23.85" hidden="false" customHeight="true" outlineLevel="0" collapsed="false">
      <c r="A33" s="134" t="s">
        <v>225</v>
      </c>
      <c r="B33" s="134" t="s">
        <v>107</v>
      </c>
      <c r="C33" s="134" t="s">
        <v>294</v>
      </c>
      <c r="D33" s="135" t="s">
        <v>295</v>
      </c>
      <c r="E33" s="135"/>
      <c r="F33" s="134" t="s">
        <v>189</v>
      </c>
      <c r="G33" s="136" t="n">
        <f aca="false">'Stavební rozpočet'!G59</f>
        <v>1.928</v>
      </c>
      <c r="H33" s="137" t="n">
        <f aca="false">'Stavební rozpočet'!H59</f>
        <v>0</v>
      </c>
      <c r="I33" s="137" t="n">
        <f aca="false">ROUND(G33*AO33,2)</f>
        <v>0</v>
      </c>
      <c r="J33" s="137" t="n">
        <f aca="false">ROUND(G33*AP33,2)</f>
        <v>0</v>
      </c>
      <c r="K33" s="137" t="n">
        <f aca="false">ROUND(G33*H33,2)</f>
        <v>0</v>
      </c>
      <c r="L33" s="137" t="n">
        <f aca="false">'Stavební rozpočet'!L59</f>
        <v>1.665</v>
      </c>
      <c r="M33" s="137" t="n">
        <f aca="false">G33*L33</f>
        <v>3.21012</v>
      </c>
      <c r="N33" s="138" t="s">
        <v>155</v>
      </c>
      <c r="Z33" s="88" t="n">
        <f aca="false">ROUND(IF(AQ33="5",BJ33,0),2)</f>
        <v>0</v>
      </c>
      <c r="AB33" s="88" t="n">
        <f aca="false">ROUND(IF(AQ33="1",BH33,0),2)</f>
        <v>0</v>
      </c>
      <c r="AC33" s="88" t="n">
        <f aca="false">ROUND(IF(AQ33="1",BI33,0),2)</f>
        <v>0</v>
      </c>
      <c r="AD33" s="88" t="n">
        <f aca="false">ROUND(IF(AQ33="7",BH33,0),2)</f>
        <v>0</v>
      </c>
      <c r="AE33" s="88" t="n">
        <f aca="false">ROUND(IF(AQ33="7",BI33,0),2)</f>
        <v>0</v>
      </c>
      <c r="AF33" s="88" t="n">
        <f aca="false">ROUND(IF(AQ33="2",BH33,0),2)</f>
        <v>0</v>
      </c>
      <c r="AG33" s="88" t="n">
        <f aca="false">ROUND(IF(AQ33="2",BI33,0),2)</f>
        <v>0</v>
      </c>
      <c r="AH33" s="88" t="n">
        <f aca="false">ROUND(IF(AQ33="0",BJ33,0),2)</f>
        <v>0</v>
      </c>
      <c r="AI33" s="116" t="s">
        <v>107</v>
      </c>
      <c r="AJ33" s="88" t="n">
        <f aca="false">IF(AN33=0,K33,0)</f>
        <v>0</v>
      </c>
      <c r="AK33" s="88" t="n">
        <f aca="false">IF(AN33=12,K33,0)</f>
        <v>0</v>
      </c>
      <c r="AL33" s="88" t="n">
        <f aca="false">IF(AN33=21,K33,0)</f>
        <v>0</v>
      </c>
      <c r="AN33" s="88" t="n">
        <v>21</v>
      </c>
      <c r="AO33" s="88" t="n">
        <f aca="false">H33*0.721306953</f>
        <v>0</v>
      </c>
      <c r="AP33" s="88" t="n">
        <f aca="false">H33*(1-0.721306953)</f>
        <v>0</v>
      </c>
      <c r="AQ33" s="87" t="s">
        <v>151</v>
      </c>
      <c r="AV33" s="88" t="n">
        <f aca="false">ROUND(AW33+AX33,2)</f>
        <v>0</v>
      </c>
      <c r="AW33" s="88" t="n">
        <f aca="false">ROUND(G33*AO33,2)</f>
        <v>0</v>
      </c>
      <c r="AX33" s="88" t="n">
        <f aca="false">ROUND(G33*AP33,2)</f>
        <v>0</v>
      </c>
      <c r="AY33" s="87" t="s">
        <v>279</v>
      </c>
      <c r="AZ33" s="87" t="s">
        <v>280</v>
      </c>
      <c r="BA33" s="116" t="s">
        <v>240</v>
      </c>
      <c r="BC33" s="88" t="n">
        <f aca="false">AW33+AX33</f>
        <v>0</v>
      </c>
      <c r="BD33" s="88" t="n">
        <f aca="false">H33/(100-BE33)*100</f>
        <v>0</v>
      </c>
      <c r="BE33" s="88" t="n">
        <v>0</v>
      </c>
      <c r="BF33" s="88" t="n">
        <f aca="false">M33</f>
        <v>3.21012</v>
      </c>
      <c r="BH33" s="88" t="n">
        <f aca="false">G33*AO33</f>
        <v>0</v>
      </c>
      <c r="BI33" s="88" t="n">
        <f aca="false">G33*AP33</f>
        <v>0</v>
      </c>
      <c r="BJ33" s="88" t="n">
        <f aca="false">G33*H33</f>
        <v>0</v>
      </c>
      <c r="BK33" s="87" t="s">
        <v>159</v>
      </c>
      <c r="BL33" s="88" t="n">
        <v>59</v>
      </c>
      <c r="BW33" s="88" t="n">
        <v>21</v>
      </c>
      <c r="BX33" s="9" t="s">
        <v>295</v>
      </c>
    </row>
    <row r="34" customFormat="false" ht="15" hidden="false" customHeight="true" outlineLevel="0" collapsed="false">
      <c r="A34" s="134" t="s">
        <v>228</v>
      </c>
      <c r="B34" s="134" t="s">
        <v>107</v>
      </c>
      <c r="C34" s="134" t="s">
        <v>297</v>
      </c>
      <c r="D34" s="135" t="s">
        <v>298</v>
      </c>
      <c r="E34" s="135"/>
      <c r="F34" s="134" t="s">
        <v>169</v>
      </c>
      <c r="G34" s="136" t="n">
        <f aca="false">'Stavební rozpočet'!G60</f>
        <v>70.1</v>
      </c>
      <c r="H34" s="137" t="n">
        <f aca="false">'Stavební rozpočet'!H60</f>
        <v>0</v>
      </c>
      <c r="I34" s="137" t="n">
        <f aca="false">ROUND(G34*AO34,2)</f>
        <v>0</v>
      </c>
      <c r="J34" s="137" t="n">
        <f aca="false">ROUND(G34*AP34,2)</f>
        <v>0</v>
      </c>
      <c r="K34" s="137" t="n">
        <f aca="false">ROUND(G34*H34,2)</f>
        <v>0</v>
      </c>
      <c r="L34" s="137" t="n">
        <f aca="false">'Stavební rozpočet'!L60</f>
        <v>0.11</v>
      </c>
      <c r="M34" s="137" t="n">
        <f aca="false">G34*L34</f>
        <v>7.711</v>
      </c>
      <c r="N34" s="138" t="s">
        <v>155</v>
      </c>
      <c r="Z34" s="88" t="n">
        <f aca="false">ROUND(IF(AQ34="5",BJ34,0),2)</f>
        <v>0</v>
      </c>
      <c r="AB34" s="88" t="n">
        <f aca="false">ROUND(IF(AQ34="1",BH34,0),2)</f>
        <v>0</v>
      </c>
      <c r="AC34" s="88" t="n">
        <f aca="false">ROUND(IF(AQ34="1",BI34,0),2)</f>
        <v>0</v>
      </c>
      <c r="AD34" s="88" t="n">
        <f aca="false">ROUND(IF(AQ34="7",BH34,0),2)</f>
        <v>0</v>
      </c>
      <c r="AE34" s="88" t="n">
        <f aca="false">ROUND(IF(AQ34="7",BI34,0),2)</f>
        <v>0</v>
      </c>
      <c r="AF34" s="88" t="n">
        <f aca="false">ROUND(IF(AQ34="2",BH34,0),2)</f>
        <v>0</v>
      </c>
      <c r="AG34" s="88" t="n">
        <f aca="false">ROUND(IF(AQ34="2",BI34,0),2)</f>
        <v>0</v>
      </c>
      <c r="AH34" s="88" t="n">
        <f aca="false">ROUND(IF(AQ34="0",BJ34,0),2)</f>
        <v>0</v>
      </c>
      <c r="AI34" s="116" t="s">
        <v>107</v>
      </c>
      <c r="AJ34" s="88" t="n">
        <f aca="false">IF(AN34=0,K34,0)</f>
        <v>0</v>
      </c>
      <c r="AK34" s="88" t="n">
        <f aca="false">IF(AN34=12,K34,0)</f>
        <v>0</v>
      </c>
      <c r="AL34" s="88" t="n">
        <f aca="false">IF(AN34=21,K34,0)</f>
        <v>0</v>
      </c>
      <c r="AN34" s="88" t="n">
        <v>21</v>
      </c>
      <c r="AO34" s="88" t="n">
        <f aca="false">H34*0.100568462</f>
        <v>0</v>
      </c>
      <c r="AP34" s="88" t="n">
        <f aca="false">H34*(1-0.100568462)</f>
        <v>0</v>
      </c>
      <c r="AQ34" s="87" t="s">
        <v>151</v>
      </c>
      <c r="AV34" s="88" t="n">
        <f aca="false">ROUND(AW34+AX34,2)</f>
        <v>0</v>
      </c>
      <c r="AW34" s="88" t="n">
        <f aca="false">ROUND(G34*AO34,2)</f>
        <v>0</v>
      </c>
      <c r="AX34" s="88" t="n">
        <f aca="false">ROUND(G34*AP34,2)</f>
        <v>0</v>
      </c>
      <c r="AY34" s="87" t="s">
        <v>279</v>
      </c>
      <c r="AZ34" s="87" t="s">
        <v>280</v>
      </c>
      <c r="BA34" s="116" t="s">
        <v>240</v>
      </c>
      <c r="BC34" s="88" t="n">
        <f aca="false">AW34+AX34</f>
        <v>0</v>
      </c>
      <c r="BD34" s="88" t="n">
        <f aca="false">H34/(100-BE34)*100</f>
        <v>0</v>
      </c>
      <c r="BE34" s="88" t="n">
        <v>0</v>
      </c>
      <c r="BF34" s="88" t="n">
        <f aca="false">M34</f>
        <v>7.711</v>
      </c>
      <c r="BH34" s="88" t="n">
        <f aca="false">G34*AO34</f>
        <v>0</v>
      </c>
      <c r="BI34" s="88" t="n">
        <f aca="false">G34*AP34</f>
        <v>0</v>
      </c>
      <c r="BJ34" s="88" t="n">
        <f aca="false">G34*H34</f>
        <v>0</v>
      </c>
      <c r="BK34" s="87" t="s">
        <v>159</v>
      </c>
      <c r="BL34" s="88" t="n">
        <v>59</v>
      </c>
      <c r="BW34" s="88" t="n">
        <v>21</v>
      </c>
      <c r="BX34" s="9" t="s">
        <v>298</v>
      </c>
    </row>
    <row r="35" customFormat="false" ht="15" hidden="false" customHeight="true" outlineLevel="0" collapsed="false">
      <c r="A35" s="139" t="s">
        <v>231</v>
      </c>
      <c r="B35" s="139" t="s">
        <v>107</v>
      </c>
      <c r="C35" s="139" t="s">
        <v>300</v>
      </c>
      <c r="D35" s="140" t="s">
        <v>301</v>
      </c>
      <c r="E35" s="140"/>
      <c r="F35" s="139" t="s">
        <v>169</v>
      </c>
      <c r="G35" s="141" t="n">
        <f aca="false">'Stavební rozpočet'!G61</f>
        <v>71.502</v>
      </c>
      <c r="H35" s="142" t="n">
        <f aca="false">'Stavební rozpočet'!H61</f>
        <v>0</v>
      </c>
      <c r="I35" s="142" t="n">
        <f aca="false">ROUND(G35*AO35,2)</f>
        <v>0</v>
      </c>
      <c r="J35" s="142" t="n">
        <f aca="false">ROUND(G35*AP35,2)</f>
        <v>0</v>
      </c>
      <c r="K35" s="142" t="n">
        <f aca="false">ROUND(G35*H35,2)</f>
        <v>0</v>
      </c>
      <c r="L35" s="142" t="n">
        <f aca="false">'Stavební rozpočet'!L61</f>
        <v>0.12</v>
      </c>
      <c r="M35" s="142" t="n">
        <f aca="false">G35*L35</f>
        <v>8.58024</v>
      </c>
      <c r="N35" s="143" t="s">
        <v>155</v>
      </c>
      <c r="Z35" s="88" t="n">
        <f aca="false">ROUND(IF(AQ35="5",BJ35,0),2)</f>
        <v>0</v>
      </c>
      <c r="AB35" s="88" t="n">
        <f aca="false">ROUND(IF(AQ35="1",BH35,0),2)</f>
        <v>0</v>
      </c>
      <c r="AC35" s="88" t="n">
        <f aca="false">ROUND(IF(AQ35="1",BI35,0),2)</f>
        <v>0</v>
      </c>
      <c r="AD35" s="88" t="n">
        <f aca="false">ROUND(IF(AQ35="7",BH35,0),2)</f>
        <v>0</v>
      </c>
      <c r="AE35" s="88" t="n">
        <f aca="false">ROUND(IF(AQ35="7",BI35,0),2)</f>
        <v>0</v>
      </c>
      <c r="AF35" s="88" t="n">
        <f aca="false">ROUND(IF(AQ35="2",BH35,0),2)</f>
        <v>0</v>
      </c>
      <c r="AG35" s="88" t="n">
        <f aca="false">ROUND(IF(AQ35="2",BI35,0),2)</f>
        <v>0</v>
      </c>
      <c r="AH35" s="88" t="n">
        <f aca="false">ROUND(IF(AQ35="0",BJ35,0),2)</f>
        <v>0</v>
      </c>
      <c r="AI35" s="116" t="s">
        <v>107</v>
      </c>
      <c r="AJ35" s="144" t="n">
        <f aca="false">IF(AN35=0,K35,0)</f>
        <v>0</v>
      </c>
      <c r="AK35" s="144" t="n">
        <f aca="false">IF(AN35=12,K35,0)</f>
        <v>0</v>
      </c>
      <c r="AL35" s="144" t="n">
        <f aca="false">IF(AN35=21,K35,0)</f>
        <v>0</v>
      </c>
      <c r="AN35" s="88" t="n">
        <v>21</v>
      </c>
      <c r="AO35" s="88" t="n">
        <f aca="false">H35*1</f>
        <v>0</v>
      </c>
      <c r="AP35" s="88" t="n">
        <f aca="false">H35*(1-1)</f>
        <v>0</v>
      </c>
      <c r="AQ35" s="145" t="s">
        <v>151</v>
      </c>
      <c r="AV35" s="88" t="n">
        <f aca="false">ROUND(AW35+AX35,2)</f>
        <v>0</v>
      </c>
      <c r="AW35" s="88" t="n">
        <f aca="false">ROUND(G35*AO35,2)</f>
        <v>0</v>
      </c>
      <c r="AX35" s="88" t="n">
        <f aca="false">ROUND(G35*AP35,2)</f>
        <v>0</v>
      </c>
      <c r="AY35" s="87" t="s">
        <v>279</v>
      </c>
      <c r="AZ35" s="87" t="s">
        <v>280</v>
      </c>
      <c r="BA35" s="116" t="s">
        <v>240</v>
      </c>
      <c r="BC35" s="88" t="n">
        <f aca="false">AW35+AX35</f>
        <v>0</v>
      </c>
      <c r="BD35" s="88" t="n">
        <f aca="false">H35/(100-BE35)*100</f>
        <v>0</v>
      </c>
      <c r="BE35" s="88" t="n">
        <v>0</v>
      </c>
      <c r="BF35" s="88" t="n">
        <f aca="false">M35</f>
        <v>8.58024</v>
      </c>
      <c r="BH35" s="144" t="n">
        <f aca="false">G35*AO35</f>
        <v>0</v>
      </c>
      <c r="BI35" s="144" t="n">
        <f aca="false">G35*AP35</f>
        <v>0</v>
      </c>
      <c r="BJ35" s="144" t="n">
        <f aca="false">G35*H35</f>
        <v>0</v>
      </c>
      <c r="BK35" s="145" t="s">
        <v>180</v>
      </c>
      <c r="BL35" s="88" t="n">
        <v>59</v>
      </c>
      <c r="BW35" s="88" t="n">
        <v>21</v>
      </c>
      <c r="BX35" s="146" t="s">
        <v>301</v>
      </c>
    </row>
    <row r="36" customFormat="false" ht="15" hidden="false" customHeight="true" outlineLevel="0" collapsed="false">
      <c r="A36" s="134" t="s">
        <v>235</v>
      </c>
      <c r="B36" s="134" t="s">
        <v>107</v>
      </c>
      <c r="C36" s="134" t="s">
        <v>303</v>
      </c>
      <c r="D36" s="135" t="s">
        <v>304</v>
      </c>
      <c r="E36" s="135"/>
      <c r="F36" s="134" t="s">
        <v>154</v>
      </c>
      <c r="G36" s="136" t="n">
        <f aca="false">'Stavební rozpočet'!G62</f>
        <v>45.7</v>
      </c>
      <c r="H36" s="137" t="n">
        <f aca="false">'Stavební rozpočet'!H62</f>
        <v>0</v>
      </c>
      <c r="I36" s="137" t="n">
        <f aca="false">ROUND(G36*AO36,2)</f>
        <v>0</v>
      </c>
      <c r="J36" s="137" t="n">
        <f aca="false">ROUND(G36*AP36,2)</f>
        <v>0</v>
      </c>
      <c r="K36" s="137" t="n">
        <f aca="false">ROUND(G36*H36,2)</f>
        <v>0</v>
      </c>
      <c r="L36" s="137" t="n">
        <f aca="false">'Stavební rozpočet'!L62</f>
        <v>0.00036</v>
      </c>
      <c r="M36" s="137" t="n">
        <f aca="false">G36*L36</f>
        <v>0.016452</v>
      </c>
      <c r="N36" s="138" t="s">
        <v>155</v>
      </c>
      <c r="Z36" s="88" t="n">
        <f aca="false">ROUND(IF(AQ36="5",BJ36,0),2)</f>
        <v>0</v>
      </c>
      <c r="AB36" s="88" t="n">
        <f aca="false">ROUND(IF(AQ36="1",BH36,0),2)</f>
        <v>0</v>
      </c>
      <c r="AC36" s="88" t="n">
        <f aca="false">ROUND(IF(AQ36="1",BI36,0),2)</f>
        <v>0</v>
      </c>
      <c r="AD36" s="88" t="n">
        <f aca="false">ROUND(IF(AQ36="7",BH36,0),2)</f>
        <v>0</v>
      </c>
      <c r="AE36" s="88" t="n">
        <f aca="false">ROUND(IF(AQ36="7",BI36,0),2)</f>
        <v>0</v>
      </c>
      <c r="AF36" s="88" t="n">
        <f aca="false">ROUND(IF(AQ36="2",BH36,0),2)</f>
        <v>0</v>
      </c>
      <c r="AG36" s="88" t="n">
        <f aca="false">ROUND(IF(AQ36="2",BI36,0),2)</f>
        <v>0</v>
      </c>
      <c r="AH36" s="88" t="n">
        <f aca="false">ROUND(IF(AQ36="0",BJ36,0),2)</f>
        <v>0</v>
      </c>
      <c r="AI36" s="116" t="s">
        <v>107</v>
      </c>
      <c r="AJ36" s="88" t="n">
        <f aca="false">IF(AN36=0,K36,0)</f>
        <v>0</v>
      </c>
      <c r="AK36" s="88" t="n">
        <f aca="false">IF(AN36=12,K36,0)</f>
        <v>0</v>
      </c>
      <c r="AL36" s="88" t="n">
        <f aca="false">IF(AN36=21,K36,0)</f>
        <v>0</v>
      </c>
      <c r="AN36" s="88" t="n">
        <v>21</v>
      </c>
      <c r="AO36" s="88" t="n">
        <f aca="false">H36*0.040030007</f>
        <v>0</v>
      </c>
      <c r="AP36" s="88" t="n">
        <f aca="false">H36*(1-0.040030007)</f>
        <v>0</v>
      </c>
      <c r="AQ36" s="87" t="s">
        <v>151</v>
      </c>
      <c r="AV36" s="88" t="n">
        <f aca="false">ROUND(AW36+AX36,2)</f>
        <v>0</v>
      </c>
      <c r="AW36" s="88" t="n">
        <f aca="false">ROUND(G36*AO36,2)</f>
        <v>0</v>
      </c>
      <c r="AX36" s="88" t="n">
        <f aca="false">ROUND(G36*AP36,2)</f>
        <v>0</v>
      </c>
      <c r="AY36" s="87" t="s">
        <v>279</v>
      </c>
      <c r="AZ36" s="87" t="s">
        <v>280</v>
      </c>
      <c r="BA36" s="116" t="s">
        <v>240</v>
      </c>
      <c r="BC36" s="88" t="n">
        <f aca="false">AW36+AX36</f>
        <v>0</v>
      </c>
      <c r="BD36" s="88" t="n">
        <f aca="false">H36/(100-BE36)*100</f>
        <v>0</v>
      </c>
      <c r="BE36" s="88" t="n">
        <v>0</v>
      </c>
      <c r="BF36" s="88" t="n">
        <f aca="false">M36</f>
        <v>0.016452</v>
      </c>
      <c r="BH36" s="88" t="n">
        <f aca="false">G36*AO36</f>
        <v>0</v>
      </c>
      <c r="BI36" s="88" t="n">
        <f aca="false">G36*AP36</f>
        <v>0</v>
      </c>
      <c r="BJ36" s="88" t="n">
        <f aca="false">G36*H36</f>
        <v>0</v>
      </c>
      <c r="BK36" s="87" t="s">
        <v>159</v>
      </c>
      <c r="BL36" s="88" t="n">
        <v>59</v>
      </c>
      <c r="BW36" s="88" t="n">
        <v>21</v>
      </c>
      <c r="BX36" s="9" t="s">
        <v>304</v>
      </c>
    </row>
    <row r="37" customFormat="false" ht="15" hidden="false" customHeight="true" outlineLevel="0" collapsed="false">
      <c r="A37" s="134" t="s">
        <v>241</v>
      </c>
      <c r="B37" s="134" t="s">
        <v>107</v>
      </c>
      <c r="C37" s="134" t="s">
        <v>306</v>
      </c>
      <c r="D37" s="135" t="s">
        <v>307</v>
      </c>
      <c r="E37" s="135"/>
      <c r="F37" s="134" t="s">
        <v>202</v>
      </c>
      <c r="G37" s="136" t="n">
        <f aca="false">'Stavební rozpočet'!G63</f>
        <v>1</v>
      </c>
      <c r="H37" s="137" t="n">
        <f aca="false">'Stavební rozpočet'!H63</f>
        <v>0</v>
      </c>
      <c r="I37" s="137" t="n">
        <f aca="false">ROUND(G37*AO37,2)</f>
        <v>0</v>
      </c>
      <c r="J37" s="137" t="n">
        <f aca="false">ROUND(G37*AP37,2)</f>
        <v>0</v>
      </c>
      <c r="K37" s="137" t="n">
        <f aca="false">ROUND(G37*H37,2)</f>
        <v>0</v>
      </c>
      <c r="L37" s="137" t="n">
        <f aca="false">'Stavební rozpočet'!L63</f>
        <v>0.00713</v>
      </c>
      <c r="M37" s="137" t="n">
        <f aca="false">G37*L37</f>
        <v>0.00713</v>
      </c>
      <c r="N37" s="138" t="s">
        <v>155</v>
      </c>
      <c r="Z37" s="88" t="n">
        <f aca="false">ROUND(IF(AQ37="5",BJ37,0),2)</f>
        <v>0</v>
      </c>
      <c r="AB37" s="88" t="n">
        <f aca="false">ROUND(IF(AQ37="1",BH37,0),2)</f>
        <v>0</v>
      </c>
      <c r="AC37" s="88" t="n">
        <f aca="false">ROUND(IF(AQ37="1",BI37,0),2)</f>
        <v>0</v>
      </c>
      <c r="AD37" s="88" t="n">
        <f aca="false">ROUND(IF(AQ37="7",BH37,0),2)</f>
        <v>0</v>
      </c>
      <c r="AE37" s="88" t="n">
        <f aca="false">ROUND(IF(AQ37="7",BI37,0),2)</f>
        <v>0</v>
      </c>
      <c r="AF37" s="88" t="n">
        <f aca="false">ROUND(IF(AQ37="2",BH37,0),2)</f>
        <v>0</v>
      </c>
      <c r="AG37" s="88" t="n">
        <f aca="false">ROUND(IF(AQ37="2",BI37,0),2)</f>
        <v>0</v>
      </c>
      <c r="AH37" s="88" t="n">
        <f aca="false">ROUND(IF(AQ37="0",BJ37,0),2)</f>
        <v>0</v>
      </c>
      <c r="AI37" s="116" t="s">
        <v>107</v>
      </c>
      <c r="AJ37" s="88" t="n">
        <f aca="false">IF(AN37=0,K37,0)</f>
        <v>0</v>
      </c>
      <c r="AK37" s="88" t="n">
        <f aca="false">IF(AN37=12,K37,0)</f>
        <v>0</v>
      </c>
      <c r="AL37" s="88" t="n">
        <f aca="false">IF(AN37=21,K37,0)</f>
        <v>0</v>
      </c>
      <c r="AN37" s="88" t="n">
        <v>21</v>
      </c>
      <c r="AO37" s="88" t="n">
        <f aca="false">H37*0.011471204</f>
        <v>0</v>
      </c>
      <c r="AP37" s="88" t="n">
        <f aca="false">H37*(1-0.011471204)</f>
        <v>0</v>
      </c>
      <c r="AQ37" s="87" t="s">
        <v>151</v>
      </c>
      <c r="AV37" s="88" t="n">
        <f aca="false">ROUND(AW37+AX37,2)</f>
        <v>0</v>
      </c>
      <c r="AW37" s="88" t="n">
        <f aca="false">ROUND(G37*AO37,2)</f>
        <v>0</v>
      </c>
      <c r="AX37" s="88" t="n">
        <f aca="false">ROUND(G37*AP37,2)</f>
        <v>0</v>
      </c>
      <c r="AY37" s="87" t="s">
        <v>279</v>
      </c>
      <c r="AZ37" s="87" t="s">
        <v>280</v>
      </c>
      <c r="BA37" s="116" t="s">
        <v>240</v>
      </c>
      <c r="BC37" s="88" t="n">
        <f aca="false">AW37+AX37</f>
        <v>0</v>
      </c>
      <c r="BD37" s="88" t="n">
        <f aca="false">H37/(100-BE37)*100</f>
        <v>0</v>
      </c>
      <c r="BE37" s="88" t="n">
        <v>0</v>
      </c>
      <c r="BF37" s="88" t="n">
        <f aca="false">M37</f>
        <v>0.00713</v>
      </c>
      <c r="BH37" s="88" t="n">
        <f aca="false">G37*AO37</f>
        <v>0</v>
      </c>
      <c r="BI37" s="88" t="n">
        <f aca="false">G37*AP37</f>
        <v>0</v>
      </c>
      <c r="BJ37" s="88" t="n">
        <f aca="false">G37*H37</f>
        <v>0</v>
      </c>
      <c r="BK37" s="87" t="s">
        <v>159</v>
      </c>
      <c r="BL37" s="88" t="n">
        <v>59</v>
      </c>
      <c r="BW37" s="88" t="n">
        <v>21</v>
      </c>
      <c r="BX37" s="9" t="s">
        <v>307</v>
      </c>
    </row>
    <row r="38" customFormat="false" ht="24.05" hidden="false" customHeight="true" outlineLevel="0" collapsed="false">
      <c r="A38" s="139" t="s">
        <v>244</v>
      </c>
      <c r="B38" s="139" t="s">
        <v>107</v>
      </c>
      <c r="C38" s="139" t="s">
        <v>309</v>
      </c>
      <c r="D38" s="140" t="s">
        <v>310</v>
      </c>
      <c r="E38" s="140"/>
      <c r="F38" s="139" t="s">
        <v>202</v>
      </c>
      <c r="G38" s="141" t="n">
        <f aca="false">'Stavební rozpočet'!G64</f>
        <v>1</v>
      </c>
      <c r="H38" s="142" t="n">
        <f aca="false">'Stavební rozpočet'!H64</f>
        <v>0</v>
      </c>
      <c r="I38" s="142" t="n">
        <f aca="false">ROUND(G38*AO38,2)</f>
        <v>0</v>
      </c>
      <c r="J38" s="142" t="n">
        <f aca="false">ROUND(G38*AP38,2)</f>
        <v>0</v>
      </c>
      <c r="K38" s="142" t="n">
        <f aca="false">ROUND(G38*H38,2)</f>
        <v>0</v>
      </c>
      <c r="L38" s="142" t="n">
        <f aca="false">'Stavební rozpočet'!L64</f>
        <v>0.0235</v>
      </c>
      <c r="M38" s="142" t="n">
        <f aca="false">G38*L38</f>
        <v>0.0235</v>
      </c>
      <c r="N38" s="143" t="s">
        <v>155</v>
      </c>
      <c r="Z38" s="88" t="n">
        <f aca="false">ROUND(IF(AQ38="5",BJ38,0),2)</f>
        <v>0</v>
      </c>
      <c r="AB38" s="88" t="n">
        <f aca="false">ROUND(IF(AQ38="1",BH38,0),2)</f>
        <v>0</v>
      </c>
      <c r="AC38" s="88" t="n">
        <f aca="false">ROUND(IF(AQ38="1",BI38,0),2)</f>
        <v>0</v>
      </c>
      <c r="AD38" s="88" t="n">
        <f aca="false">ROUND(IF(AQ38="7",BH38,0),2)</f>
        <v>0</v>
      </c>
      <c r="AE38" s="88" t="n">
        <f aca="false">ROUND(IF(AQ38="7",BI38,0),2)</f>
        <v>0</v>
      </c>
      <c r="AF38" s="88" t="n">
        <f aca="false">ROUND(IF(AQ38="2",BH38,0),2)</f>
        <v>0</v>
      </c>
      <c r="AG38" s="88" t="n">
        <f aca="false">ROUND(IF(AQ38="2",BI38,0),2)</f>
        <v>0</v>
      </c>
      <c r="AH38" s="88" t="n">
        <f aca="false">ROUND(IF(AQ38="0",BJ38,0),2)</f>
        <v>0</v>
      </c>
      <c r="AI38" s="116" t="s">
        <v>107</v>
      </c>
      <c r="AJ38" s="144" t="n">
        <f aca="false">IF(AN38=0,K38,0)</f>
        <v>0</v>
      </c>
      <c r="AK38" s="144" t="n">
        <f aca="false">IF(AN38=12,K38,0)</f>
        <v>0</v>
      </c>
      <c r="AL38" s="144" t="n">
        <f aca="false">IF(AN38=21,K38,0)</f>
        <v>0</v>
      </c>
      <c r="AN38" s="88" t="n">
        <v>21</v>
      </c>
      <c r="AO38" s="88" t="n">
        <f aca="false">H38*1</f>
        <v>0</v>
      </c>
      <c r="AP38" s="88" t="n">
        <f aca="false">H38*(1-1)</f>
        <v>0</v>
      </c>
      <c r="AQ38" s="145" t="s">
        <v>151</v>
      </c>
      <c r="AV38" s="88" t="n">
        <f aca="false">ROUND(AW38+AX38,2)</f>
        <v>0</v>
      </c>
      <c r="AW38" s="88" t="n">
        <f aca="false">ROUND(G38*AO38,2)</f>
        <v>0</v>
      </c>
      <c r="AX38" s="88" t="n">
        <f aca="false">ROUND(G38*AP38,2)</f>
        <v>0</v>
      </c>
      <c r="AY38" s="87" t="s">
        <v>279</v>
      </c>
      <c r="AZ38" s="87" t="s">
        <v>280</v>
      </c>
      <c r="BA38" s="116" t="s">
        <v>240</v>
      </c>
      <c r="BC38" s="88" t="n">
        <f aca="false">AW38+AX38</f>
        <v>0</v>
      </c>
      <c r="BD38" s="88" t="n">
        <f aca="false">H38/(100-BE38)*100</f>
        <v>0</v>
      </c>
      <c r="BE38" s="88" t="n">
        <v>0</v>
      </c>
      <c r="BF38" s="88" t="n">
        <f aca="false">M38</f>
        <v>0.0235</v>
      </c>
      <c r="BH38" s="144" t="n">
        <f aca="false">G38*AO38</f>
        <v>0</v>
      </c>
      <c r="BI38" s="144" t="n">
        <f aca="false">G38*AP38</f>
        <v>0</v>
      </c>
      <c r="BJ38" s="144" t="n">
        <f aca="false">G38*H38</f>
        <v>0</v>
      </c>
      <c r="BK38" s="145" t="s">
        <v>180</v>
      </c>
      <c r="BL38" s="88" t="n">
        <v>59</v>
      </c>
      <c r="BW38" s="88" t="n">
        <v>21</v>
      </c>
      <c r="BX38" s="146" t="s">
        <v>310</v>
      </c>
    </row>
    <row r="39" customFormat="false" ht="24.05" hidden="false" customHeight="true" outlineLevel="0" collapsed="false">
      <c r="A39" s="134" t="s">
        <v>247</v>
      </c>
      <c r="B39" s="134" t="s">
        <v>107</v>
      </c>
      <c r="C39" s="134" t="s">
        <v>312</v>
      </c>
      <c r="D39" s="135" t="s">
        <v>313</v>
      </c>
      <c r="E39" s="135"/>
      <c r="F39" s="134" t="s">
        <v>154</v>
      </c>
      <c r="G39" s="136" t="n">
        <f aca="false">'Stavební rozpočet'!G65</f>
        <v>3.5</v>
      </c>
      <c r="H39" s="137" t="n">
        <f aca="false">'Stavební rozpočet'!H65</f>
        <v>0</v>
      </c>
      <c r="I39" s="137" t="n">
        <f aca="false">ROUND(G39*AO39,2)</f>
        <v>0</v>
      </c>
      <c r="J39" s="137" t="n">
        <f aca="false">ROUND(G39*AP39,2)</f>
        <v>0</v>
      </c>
      <c r="K39" s="137" t="n">
        <f aca="false">ROUND(G39*H39,2)</f>
        <v>0</v>
      </c>
      <c r="L39" s="137" t="n">
        <f aca="false">'Stavební rozpočet'!L65</f>
        <v>0.12472</v>
      </c>
      <c r="M39" s="137" t="n">
        <f aca="false">G39*L39</f>
        <v>0.43652</v>
      </c>
      <c r="N39" s="138" t="s">
        <v>155</v>
      </c>
      <c r="Z39" s="88" t="n">
        <f aca="false">ROUND(IF(AQ39="5",BJ39,0),2)</f>
        <v>0</v>
      </c>
      <c r="AB39" s="88" t="n">
        <f aca="false">ROUND(IF(AQ39="1",BH39,0),2)</f>
        <v>0</v>
      </c>
      <c r="AC39" s="88" t="n">
        <f aca="false">ROUND(IF(AQ39="1",BI39,0),2)</f>
        <v>0</v>
      </c>
      <c r="AD39" s="88" t="n">
        <f aca="false">ROUND(IF(AQ39="7",BH39,0),2)</f>
        <v>0</v>
      </c>
      <c r="AE39" s="88" t="n">
        <f aca="false">ROUND(IF(AQ39="7",BI39,0),2)</f>
        <v>0</v>
      </c>
      <c r="AF39" s="88" t="n">
        <f aca="false">ROUND(IF(AQ39="2",BH39,0),2)</f>
        <v>0</v>
      </c>
      <c r="AG39" s="88" t="n">
        <f aca="false">ROUND(IF(AQ39="2",BI39,0),2)</f>
        <v>0</v>
      </c>
      <c r="AH39" s="88" t="n">
        <f aca="false">ROUND(IF(AQ39="0",BJ39,0),2)</f>
        <v>0</v>
      </c>
      <c r="AI39" s="116" t="s">
        <v>107</v>
      </c>
      <c r="AJ39" s="88" t="n">
        <f aca="false">IF(AN39=0,K39,0)</f>
        <v>0</v>
      </c>
      <c r="AK39" s="88" t="n">
        <f aca="false">IF(AN39=12,K39,0)</f>
        <v>0</v>
      </c>
      <c r="AL39" s="88" t="n">
        <f aca="false">IF(AN39=21,K39,0)</f>
        <v>0</v>
      </c>
      <c r="AN39" s="88" t="n">
        <v>21</v>
      </c>
      <c r="AO39" s="88" t="n">
        <f aca="false">H39*0.714046193</f>
        <v>0</v>
      </c>
      <c r="AP39" s="88" t="n">
        <f aca="false">H39*(1-0.714046193)</f>
        <v>0</v>
      </c>
      <c r="AQ39" s="87" t="s">
        <v>151</v>
      </c>
      <c r="AV39" s="88" t="n">
        <f aca="false">ROUND(AW39+AX39,2)</f>
        <v>0</v>
      </c>
      <c r="AW39" s="88" t="n">
        <f aca="false">ROUND(G39*AO39,2)</f>
        <v>0</v>
      </c>
      <c r="AX39" s="88" t="n">
        <f aca="false">ROUND(G39*AP39,2)</f>
        <v>0</v>
      </c>
      <c r="AY39" s="87" t="s">
        <v>279</v>
      </c>
      <c r="AZ39" s="87" t="s">
        <v>280</v>
      </c>
      <c r="BA39" s="116" t="s">
        <v>240</v>
      </c>
      <c r="BC39" s="88" t="n">
        <f aca="false">AW39+AX39</f>
        <v>0</v>
      </c>
      <c r="BD39" s="88" t="n">
        <f aca="false">H39/(100-BE39)*100</f>
        <v>0</v>
      </c>
      <c r="BE39" s="88" t="n">
        <v>0</v>
      </c>
      <c r="BF39" s="88" t="n">
        <f aca="false">M39</f>
        <v>0.43652</v>
      </c>
      <c r="BH39" s="88" t="n">
        <f aca="false">G39*AO39</f>
        <v>0</v>
      </c>
      <c r="BI39" s="88" t="n">
        <f aca="false">G39*AP39</f>
        <v>0</v>
      </c>
      <c r="BJ39" s="88" t="n">
        <f aca="false">G39*H39</f>
        <v>0</v>
      </c>
      <c r="BK39" s="87" t="s">
        <v>159</v>
      </c>
      <c r="BL39" s="88" t="n">
        <v>59</v>
      </c>
      <c r="BW39" s="88" t="n">
        <v>21</v>
      </c>
      <c r="BX39" s="9" t="s">
        <v>313</v>
      </c>
    </row>
    <row r="40" customFormat="false" ht="24.05" hidden="false" customHeight="true" outlineLevel="0" collapsed="false">
      <c r="A40" s="134" t="s">
        <v>250</v>
      </c>
      <c r="B40" s="134" t="s">
        <v>107</v>
      </c>
      <c r="C40" s="134" t="s">
        <v>315</v>
      </c>
      <c r="D40" s="135" t="s">
        <v>316</v>
      </c>
      <c r="E40" s="135"/>
      <c r="F40" s="134" t="s">
        <v>189</v>
      </c>
      <c r="G40" s="136" t="n">
        <f aca="false">'Stavební rozpočet'!G66</f>
        <v>4.26</v>
      </c>
      <c r="H40" s="137" t="n">
        <f aca="false">'Stavební rozpočet'!H66</f>
        <v>0</v>
      </c>
      <c r="I40" s="137" t="n">
        <f aca="false">ROUND(G40*AO40,2)</f>
        <v>0</v>
      </c>
      <c r="J40" s="137" t="n">
        <f aca="false">ROUND(G40*AP40,2)</f>
        <v>0</v>
      </c>
      <c r="K40" s="137" t="n">
        <f aca="false">ROUND(G40*H40,2)</f>
        <v>0</v>
      </c>
      <c r="L40" s="137" t="n">
        <f aca="false">'Stavební rozpočet'!L66</f>
        <v>2.525</v>
      </c>
      <c r="M40" s="137" t="n">
        <f aca="false">G40*L40</f>
        <v>10.7565</v>
      </c>
      <c r="N40" s="138" t="s">
        <v>155</v>
      </c>
      <c r="Z40" s="88" t="n">
        <f aca="false">ROUND(IF(AQ40="5",BJ40,0),2)</f>
        <v>0</v>
      </c>
      <c r="AB40" s="88" t="n">
        <f aca="false">ROUND(IF(AQ40="1",BH40,0),2)</f>
        <v>0</v>
      </c>
      <c r="AC40" s="88" t="n">
        <f aca="false">ROUND(IF(AQ40="1",BI40,0),2)</f>
        <v>0</v>
      </c>
      <c r="AD40" s="88" t="n">
        <f aca="false">ROUND(IF(AQ40="7",BH40,0),2)</f>
        <v>0</v>
      </c>
      <c r="AE40" s="88" t="n">
        <f aca="false">ROUND(IF(AQ40="7",BI40,0),2)</f>
        <v>0</v>
      </c>
      <c r="AF40" s="88" t="n">
        <f aca="false">ROUND(IF(AQ40="2",BH40,0),2)</f>
        <v>0</v>
      </c>
      <c r="AG40" s="88" t="n">
        <f aca="false">ROUND(IF(AQ40="2",BI40,0),2)</f>
        <v>0</v>
      </c>
      <c r="AH40" s="88" t="n">
        <f aca="false">ROUND(IF(AQ40="0",BJ40,0),2)</f>
        <v>0</v>
      </c>
      <c r="AI40" s="116" t="s">
        <v>107</v>
      </c>
      <c r="AJ40" s="88" t="n">
        <f aca="false">IF(AN40=0,K40,0)</f>
        <v>0</v>
      </c>
      <c r="AK40" s="88" t="n">
        <f aca="false">IF(AN40=12,K40,0)</f>
        <v>0</v>
      </c>
      <c r="AL40" s="88" t="n">
        <f aca="false">IF(AN40=21,K40,0)</f>
        <v>0</v>
      </c>
      <c r="AN40" s="88" t="n">
        <v>21</v>
      </c>
      <c r="AO40" s="88" t="n">
        <f aca="false">H40*0.917371859</f>
        <v>0</v>
      </c>
      <c r="AP40" s="88" t="n">
        <f aca="false">H40*(1-0.917371859)</f>
        <v>0</v>
      </c>
      <c r="AQ40" s="87" t="s">
        <v>151</v>
      </c>
      <c r="AV40" s="88" t="n">
        <f aca="false">ROUND(AW40+AX40,2)</f>
        <v>0</v>
      </c>
      <c r="AW40" s="88" t="n">
        <f aca="false">ROUND(G40*AO40,2)</f>
        <v>0</v>
      </c>
      <c r="AX40" s="88" t="n">
        <f aca="false">ROUND(G40*AP40,2)</f>
        <v>0</v>
      </c>
      <c r="AY40" s="87" t="s">
        <v>279</v>
      </c>
      <c r="AZ40" s="87" t="s">
        <v>280</v>
      </c>
      <c r="BA40" s="116" t="s">
        <v>240</v>
      </c>
      <c r="BC40" s="88" t="n">
        <f aca="false">AW40+AX40</f>
        <v>0</v>
      </c>
      <c r="BD40" s="88" t="n">
        <f aca="false">H40/(100-BE40)*100</f>
        <v>0</v>
      </c>
      <c r="BE40" s="88" t="n">
        <v>0</v>
      </c>
      <c r="BF40" s="88" t="n">
        <f aca="false">M40</f>
        <v>10.7565</v>
      </c>
      <c r="BH40" s="88" t="n">
        <f aca="false">G40*AO40</f>
        <v>0</v>
      </c>
      <c r="BI40" s="88" t="n">
        <f aca="false">G40*AP40</f>
        <v>0</v>
      </c>
      <c r="BJ40" s="88" t="n">
        <f aca="false">G40*H40</f>
        <v>0</v>
      </c>
      <c r="BK40" s="87" t="s">
        <v>159</v>
      </c>
      <c r="BL40" s="88" t="n">
        <v>59</v>
      </c>
      <c r="BW40" s="88" t="n">
        <v>21</v>
      </c>
      <c r="BX40" s="9" t="s">
        <v>316</v>
      </c>
    </row>
    <row r="41" customFormat="false" ht="15" hidden="false" customHeight="true" outlineLevel="0" collapsed="false">
      <c r="A41" s="134" t="s">
        <v>253</v>
      </c>
      <c r="B41" s="134" t="s">
        <v>107</v>
      </c>
      <c r="C41" s="134" t="s">
        <v>318</v>
      </c>
      <c r="D41" s="135" t="s">
        <v>319</v>
      </c>
      <c r="E41" s="135"/>
      <c r="F41" s="134" t="s">
        <v>179</v>
      </c>
      <c r="G41" s="136" t="n">
        <f aca="false">'Stavební rozpočet'!G67</f>
        <v>35.207</v>
      </c>
      <c r="H41" s="137" t="n">
        <f aca="false">'Stavební rozpočet'!H67</f>
        <v>0</v>
      </c>
      <c r="I41" s="137" t="n">
        <f aca="false">ROUND(G41*AO41,2)</f>
        <v>0</v>
      </c>
      <c r="J41" s="137" t="n">
        <f aca="false">ROUND(G41*AP41,2)</f>
        <v>0</v>
      </c>
      <c r="K41" s="137" t="n">
        <f aca="false">ROUND(G41*H41,2)</f>
        <v>0</v>
      </c>
      <c r="L41" s="137" t="n">
        <f aca="false">'Stavební rozpočet'!L67</f>
        <v>0</v>
      </c>
      <c r="M41" s="137" t="n">
        <f aca="false">G41*L41</f>
        <v>0</v>
      </c>
      <c r="N41" s="138" t="s">
        <v>155</v>
      </c>
      <c r="Z41" s="88" t="n">
        <f aca="false">ROUND(IF(AQ41="5",BJ41,0),2)</f>
        <v>0</v>
      </c>
      <c r="AB41" s="88" t="n">
        <f aca="false">ROUND(IF(AQ41="1",BH41,0),2)</f>
        <v>0</v>
      </c>
      <c r="AC41" s="88" t="n">
        <f aca="false">ROUND(IF(AQ41="1",BI41,0),2)</f>
        <v>0</v>
      </c>
      <c r="AD41" s="88" t="n">
        <f aca="false">ROUND(IF(AQ41="7",BH41,0),2)</f>
        <v>0</v>
      </c>
      <c r="AE41" s="88" t="n">
        <f aca="false">ROUND(IF(AQ41="7",BI41,0),2)</f>
        <v>0</v>
      </c>
      <c r="AF41" s="88" t="n">
        <f aca="false">ROUND(IF(AQ41="2",BH41,0),2)</f>
        <v>0</v>
      </c>
      <c r="AG41" s="88" t="n">
        <f aca="false">ROUND(IF(AQ41="2",BI41,0),2)</f>
        <v>0</v>
      </c>
      <c r="AH41" s="88" t="n">
        <f aca="false">ROUND(IF(AQ41="0",BJ41,0),2)</f>
        <v>0</v>
      </c>
      <c r="AI41" s="116" t="s">
        <v>107</v>
      </c>
      <c r="AJ41" s="88" t="n">
        <f aca="false">IF(AN41=0,K41,0)</f>
        <v>0</v>
      </c>
      <c r="AK41" s="88" t="n">
        <f aca="false">IF(AN41=12,K41,0)</f>
        <v>0</v>
      </c>
      <c r="AL41" s="88" t="n">
        <f aca="false">IF(AN41=21,K41,0)</f>
        <v>0</v>
      </c>
      <c r="AN41" s="88" t="n">
        <v>21</v>
      </c>
      <c r="AO41" s="88" t="n">
        <f aca="false">H41*0</f>
        <v>0</v>
      </c>
      <c r="AP41" s="88" t="n">
        <f aca="false">H41*(1-0)</f>
        <v>0</v>
      </c>
      <c r="AQ41" s="87" t="s">
        <v>170</v>
      </c>
      <c r="AV41" s="88" t="n">
        <f aca="false">ROUND(AW41+AX41,2)</f>
        <v>0</v>
      </c>
      <c r="AW41" s="88" t="n">
        <f aca="false">ROUND(G41*AO41,2)</f>
        <v>0</v>
      </c>
      <c r="AX41" s="88" t="n">
        <f aca="false">ROUND(G41*AP41,2)</f>
        <v>0</v>
      </c>
      <c r="AY41" s="87" t="s">
        <v>279</v>
      </c>
      <c r="AZ41" s="87" t="s">
        <v>280</v>
      </c>
      <c r="BA41" s="116" t="s">
        <v>240</v>
      </c>
      <c r="BC41" s="88" t="n">
        <f aca="false">AW41+AX41</f>
        <v>0</v>
      </c>
      <c r="BD41" s="88" t="n">
        <f aca="false">H41/(100-BE41)*100</f>
        <v>0</v>
      </c>
      <c r="BE41" s="88" t="n">
        <v>0</v>
      </c>
      <c r="BF41" s="88" t="n">
        <f aca="false">M41</f>
        <v>0</v>
      </c>
      <c r="BH41" s="88" t="n">
        <f aca="false">G41*AO41</f>
        <v>0</v>
      </c>
      <c r="BI41" s="88" t="n">
        <f aca="false">G41*AP41</f>
        <v>0</v>
      </c>
      <c r="BJ41" s="88" t="n">
        <f aca="false">G41*H41</f>
        <v>0</v>
      </c>
      <c r="BK41" s="87" t="s">
        <v>159</v>
      </c>
      <c r="BL41" s="88" t="n">
        <v>59</v>
      </c>
      <c r="BW41" s="88" t="n">
        <v>21</v>
      </c>
      <c r="BX41" s="9" t="s">
        <v>319</v>
      </c>
    </row>
    <row r="42" customFormat="false" ht="15" hidden="false" customHeight="true" outlineLevel="0" collapsed="false">
      <c r="A42" s="128"/>
      <c r="B42" s="129" t="s">
        <v>107</v>
      </c>
      <c r="C42" s="129" t="s">
        <v>320</v>
      </c>
      <c r="D42" s="130" t="s">
        <v>321</v>
      </c>
      <c r="E42" s="130"/>
      <c r="F42" s="128" t="s">
        <v>97</v>
      </c>
      <c r="G42" s="131" t="s">
        <v>97</v>
      </c>
      <c r="H42" s="128" t="s">
        <v>97</v>
      </c>
      <c r="I42" s="132" t="n">
        <f aca="false">ROUND(SUM(I43:I46),2)</f>
        <v>0</v>
      </c>
      <c r="J42" s="132" t="n">
        <f aca="false">ROUND(SUM(J43:J46),2)</f>
        <v>0</v>
      </c>
      <c r="K42" s="132" t="n">
        <f aca="false">ROUND(SUM(K43:K46),2)</f>
        <v>0</v>
      </c>
      <c r="L42" s="133"/>
      <c r="M42" s="132" t="n">
        <f aca="false">SUM(M43:M46)</f>
        <v>0.4985386</v>
      </c>
      <c r="N42" s="133"/>
      <c r="AI42" s="116" t="s">
        <v>107</v>
      </c>
      <c r="AS42" s="107" t="n">
        <f aca="false">SUM(AJ43:AJ46)</f>
        <v>0</v>
      </c>
      <c r="AT42" s="107" t="n">
        <f aca="false">SUM(AK43:AK46)</f>
        <v>0</v>
      </c>
      <c r="AU42" s="107" t="n">
        <f aca="false">SUM(AL43:AL46)</f>
        <v>0</v>
      </c>
    </row>
    <row r="43" customFormat="false" ht="23.85" hidden="false" customHeight="true" outlineLevel="0" collapsed="false">
      <c r="A43" s="134" t="s">
        <v>256</v>
      </c>
      <c r="B43" s="134" t="s">
        <v>107</v>
      </c>
      <c r="C43" s="134" t="s">
        <v>323</v>
      </c>
      <c r="D43" s="135" t="s">
        <v>324</v>
      </c>
      <c r="E43" s="135"/>
      <c r="F43" s="134" t="s">
        <v>325</v>
      </c>
      <c r="G43" s="136" t="n">
        <f aca="false">'Stavební rozpočet'!G69</f>
        <v>433.512</v>
      </c>
      <c r="H43" s="137" t="n">
        <f aca="false">'Stavební rozpočet'!H69</f>
        <v>0</v>
      </c>
      <c r="I43" s="137" t="n">
        <f aca="false">ROUND(G43*AO43,2)</f>
        <v>0</v>
      </c>
      <c r="J43" s="137" t="n">
        <f aca="false">ROUND(G43*AP43,2)</f>
        <v>0</v>
      </c>
      <c r="K43" s="137" t="n">
        <f aca="false">ROUND(G43*H43,2)</f>
        <v>0</v>
      </c>
      <c r="L43" s="137" t="n">
        <f aca="false">'Stavební rozpočet'!L69</f>
        <v>5E-005</v>
      </c>
      <c r="M43" s="137" t="n">
        <f aca="false">G43*L43</f>
        <v>0.0216756</v>
      </c>
      <c r="N43" s="138" t="s">
        <v>155</v>
      </c>
      <c r="Z43" s="88" t="n">
        <f aca="false">ROUND(IF(AQ43="5",BJ43,0),2)</f>
        <v>0</v>
      </c>
      <c r="AB43" s="88" t="n">
        <f aca="false">ROUND(IF(AQ43="1",BH43,0),2)</f>
        <v>0</v>
      </c>
      <c r="AC43" s="88" t="n">
        <f aca="false">ROUND(IF(AQ43="1",BI43,0),2)</f>
        <v>0</v>
      </c>
      <c r="AD43" s="88" t="n">
        <f aca="false">ROUND(IF(AQ43="7",BH43,0),2)</f>
        <v>0</v>
      </c>
      <c r="AE43" s="88" t="n">
        <f aca="false">ROUND(IF(AQ43="7",BI43,0),2)</f>
        <v>0</v>
      </c>
      <c r="AF43" s="88" t="n">
        <f aca="false">ROUND(IF(AQ43="2",BH43,0),2)</f>
        <v>0</v>
      </c>
      <c r="AG43" s="88" t="n">
        <f aca="false">ROUND(IF(AQ43="2",BI43,0),2)</f>
        <v>0</v>
      </c>
      <c r="AH43" s="88" t="n">
        <f aca="false">ROUND(IF(AQ43="0",BJ43,0),2)</f>
        <v>0</v>
      </c>
      <c r="AI43" s="116" t="s">
        <v>107</v>
      </c>
      <c r="AJ43" s="88" t="n">
        <f aca="false">IF(AN43=0,K43,0)</f>
        <v>0</v>
      </c>
      <c r="AK43" s="88" t="n">
        <f aca="false">IF(AN43=12,K43,0)</f>
        <v>0</v>
      </c>
      <c r="AL43" s="88" t="n">
        <f aca="false">IF(AN43=21,K43,0)</f>
        <v>0</v>
      </c>
      <c r="AN43" s="88" t="n">
        <v>21</v>
      </c>
      <c r="AO43" s="88" t="n">
        <f aca="false">H43*0.152781263</f>
        <v>0</v>
      </c>
      <c r="AP43" s="88" t="n">
        <f aca="false">H43*(1-0.152781263)</f>
        <v>0</v>
      </c>
      <c r="AQ43" s="87" t="s">
        <v>176</v>
      </c>
      <c r="AV43" s="88" t="n">
        <f aca="false">ROUND(AW43+AX43,2)</f>
        <v>0</v>
      </c>
      <c r="AW43" s="88" t="n">
        <f aca="false">ROUND(G43*AO43,2)</f>
        <v>0</v>
      </c>
      <c r="AX43" s="88" t="n">
        <f aca="false">ROUND(G43*AP43,2)</f>
        <v>0</v>
      </c>
      <c r="AY43" s="87" t="s">
        <v>326</v>
      </c>
      <c r="AZ43" s="87" t="s">
        <v>327</v>
      </c>
      <c r="BA43" s="116" t="s">
        <v>240</v>
      </c>
      <c r="BC43" s="88" t="n">
        <f aca="false">AW43+AX43</f>
        <v>0</v>
      </c>
      <c r="BD43" s="88" t="n">
        <f aca="false">H43/(100-BE43)*100</f>
        <v>0</v>
      </c>
      <c r="BE43" s="88" t="n">
        <v>0</v>
      </c>
      <c r="BF43" s="88" t="n">
        <f aca="false">M43</f>
        <v>0.0216756</v>
      </c>
      <c r="BH43" s="88" t="n">
        <f aca="false">G43*AO43</f>
        <v>0</v>
      </c>
      <c r="BI43" s="88" t="n">
        <f aca="false">G43*AP43</f>
        <v>0</v>
      </c>
      <c r="BJ43" s="88" t="n">
        <f aca="false">G43*H43</f>
        <v>0</v>
      </c>
      <c r="BK43" s="87" t="s">
        <v>159</v>
      </c>
      <c r="BL43" s="88" t="n">
        <v>767</v>
      </c>
      <c r="BW43" s="88" t="n">
        <v>21</v>
      </c>
      <c r="BX43" s="9" t="s">
        <v>324</v>
      </c>
    </row>
    <row r="44" customFormat="false" ht="15" hidden="false" customHeight="true" outlineLevel="0" collapsed="false">
      <c r="A44" s="139" t="s">
        <v>259</v>
      </c>
      <c r="B44" s="139" t="s">
        <v>107</v>
      </c>
      <c r="C44" s="139" t="s">
        <v>329</v>
      </c>
      <c r="D44" s="140" t="s">
        <v>330</v>
      </c>
      <c r="E44" s="140"/>
      <c r="F44" s="139" t="s">
        <v>325</v>
      </c>
      <c r="G44" s="141" t="n">
        <f aca="false">'Stavební rozpočet'!G70</f>
        <v>31.363</v>
      </c>
      <c r="H44" s="142" t="n">
        <f aca="false">'Stavební rozpočet'!H70</f>
        <v>0</v>
      </c>
      <c r="I44" s="142" t="n">
        <f aca="false">ROUND(G44*AO44,2)</f>
        <v>0</v>
      </c>
      <c r="J44" s="142" t="n">
        <f aca="false">ROUND(G44*AP44,2)</f>
        <v>0</v>
      </c>
      <c r="K44" s="142" t="n">
        <f aca="false">ROUND(G44*H44,2)</f>
        <v>0</v>
      </c>
      <c r="L44" s="142" t="n">
        <f aca="false">'Stavební rozpočet'!L70</f>
        <v>0.001</v>
      </c>
      <c r="M44" s="142" t="n">
        <f aca="false">G44*L44</f>
        <v>0.031363</v>
      </c>
      <c r="N44" s="143" t="s">
        <v>155</v>
      </c>
      <c r="Z44" s="88" t="n">
        <f aca="false">ROUND(IF(AQ44="5",BJ44,0),2)</f>
        <v>0</v>
      </c>
      <c r="AB44" s="88" t="n">
        <f aca="false">ROUND(IF(AQ44="1",BH44,0),2)</f>
        <v>0</v>
      </c>
      <c r="AC44" s="88" t="n">
        <f aca="false">ROUND(IF(AQ44="1",BI44,0),2)</f>
        <v>0</v>
      </c>
      <c r="AD44" s="88" t="n">
        <f aca="false">ROUND(IF(AQ44="7",BH44,0),2)</f>
        <v>0</v>
      </c>
      <c r="AE44" s="88" t="n">
        <f aca="false">ROUND(IF(AQ44="7",BI44,0),2)</f>
        <v>0</v>
      </c>
      <c r="AF44" s="88" t="n">
        <f aca="false">ROUND(IF(AQ44="2",BH44,0),2)</f>
        <v>0</v>
      </c>
      <c r="AG44" s="88" t="n">
        <f aca="false">ROUND(IF(AQ44="2",BI44,0),2)</f>
        <v>0</v>
      </c>
      <c r="AH44" s="88" t="n">
        <f aca="false">ROUND(IF(AQ44="0",BJ44,0),2)</f>
        <v>0</v>
      </c>
      <c r="AI44" s="116" t="s">
        <v>107</v>
      </c>
      <c r="AJ44" s="144" t="n">
        <f aca="false">IF(AN44=0,K44,0)</f>
        <v>0</v>
      </c>
      <c r="AK44" s="144" t="n">
        <f aca="false">IF(AN44=12,K44,0)</f>
        <v>0</v>
      </c>
      <c r="AL44" s="144" t="n">
        <f aca="false">IF(AN44=21,K44,0)</f>
        <v>0</v>
      </c>
      <c r="AN44" s="88" t="n">
        <v>21</v>
      </c>
      <c r="AO44" s="88" t="n">
        <f aca="false">H44*1</f>
        <v>0</v>
      </c>
      <c r="AP44" s="88" t="n">
        <f aca="false">H44*(1-1)</f>
        <v>0</v>
      </c>
      <c r="AQ44" s="145" t="s">
        <v>176</v>
      </c>
      <c r="AV44" s="88" t="n">
        <f aca="false">ROUND(AW44+AX44,2)</f>
        <v>0</v>
      </c>
      <c r="AW44" s="88" t="n">
        <f aca="false">ROUND(G44*AO44,2)</f>
        <v>0</v>
      </c>
      <c r="AX44" s="88" t="n">
        <f aca="false">ROUND(G44*AP44,2)</f>
        <v>0</v>
      </c>
      <c r="AY44" s="87" t="s">
        <v>326</v>
      </c>
      <c r="AZ44" s="87" t="s">
        <v>327</v>
      </c>
      <c r="BA44" s="116" t="s">
        <v>240</v>
      </c>
      <c r="BC44" s="88" t="n">
        <f aca="false">AW44+AX44</f>
        <v>0</v>
      </c>
      <c r="BD44" s="88" t="n">
        <f aca="false">H44/(100-BE44)*100</f>
        <v>0</v>
      </c>
      <c r="BE44" s="88" t="n">
        <v>0</v>
      </c>
      <c r="BF44" s="88" t="n">
        <f aca="false">M44</f>
        <v>0.031363</v>
      </c>
      <c r="BH44" s="144" t="n">
        <f aca="false">G44*AO44</f>
        <v>0</v>
      </c>
      <c r="BI44" s="144" t="n">
        <f aca="false">G44*AP44</f>
        <v>0</v>
      </c>
      <c r="BJ44" s="144" t="n">
        <f aca="false">G44*H44</f>
        <v>0</v>
      </c>
      <c r="BK44" s="145" t="s">
        <v>180</v>
      </c>
      <c r="BL44" s="88" t="n">
        <v>767</v>
      </c>
      <c r="BW44" s="88" t="n">
        <v>21</v>
      </c>
      <c r="BX44" s="146" t="s">
        <v>330</v>
      </c>
    </row>
    <row r="45" customFormat="false" ht="15" hidden="false" customHeight="true" outlineLevel="0" collapsed="false">
      <c r="A45" s="139" t="s">
        <v>262</v>
      </c>
      <c r="B45" s="139" t="s">
        <v>107</v>
      </c>
      <c r="C45" s="139" t="s">
        <v>329</v>
      </c>
      <c r="D45" s="140" t="s">
        <v>332</v>
      </c>
      <c r="E45" s="140"/>
      <c r="F45" s="139" t="s">
        <v>325</v>
      </c>
      <c r="G45" s="141" t="n">
        <f aca="false">'Stavební rozpočet'!G71</f>
        <v>445.5</v>
      </c>
      <c r="H45" s="142" t="n">
        <f aca="false">'Stavební rozpočet'!H71</f>
        <v>0</v>
      </c>
      <c r="I45" s="142" t="n">
        <f aca="false">ROUND(G45*AO45,2)</f>
        <v>0</v>
      </c>
      <c r="J45" s="142" t="n">
        <f aca="false">ROUND(G45*AP45,2)</f>
        <v>0</v>
      </c>
      <c r="K45" s="142" t="n">
        <f aca="false">ROUND(G45*H45,2)</f>
        <v>0</v>
      </c>
      <c r="L45" s="142" t="n">
        <f aca="false">'Stavební rozpočet'!L71</f>
        <v>0.001</v>
      </c>
      <c r="M45" s="142" t="n">
        <f aca="false">G45*L45</f>
        <v>0.4455</v>
      </c>
      <c r="N45" s="143" t="s">
        <v>155</v>
      </c>
      <c r="Z45" s="88" t="n">
        <f aca="false">ROUND(IF(AQ45="5",BJ45,0),2)</f>
        <v>0</v>
      </c>
      <c r="AB45" s="88" t="n">
        <f aca="false">ROUND(IF(AQ45="1",BH45,0),2)</f>
        <v>0</v>
      </c>
      <c r="AC45" s="88" t="n">
        <f aca="false">ROUND(IF(AQ45="1",BI45,0),2)</f>
        <v>0</v>
      </c>
      <c r="AD45" s="88" t="n">
        <f aca="false">ROUND(IF(AQ45="7",BH45,0),2)</f>
        <v>0</v>
      </c>
      <c r="AE45" s="88" t="n">
        <f aca="false">ROUND(IF(AQ45="7",BI45,0),2)</f>
        <v>0</v>
      </c>
      <c r="AF45" s="88" t="n">
        <f aca="false">ROUND(IF(AQ45="2",BH45,0),2)</f>
        <v>0</v>
      </c>
      <c r="AG45" s="88" t="n">
        <f aca="false">ROUND(IF(AQ45="2",BI45,0),2)</f>
        <v>0</v>
      </c>
      <c r="AH45" s="88" t="n">
        <f aca="false">ROUND(IF(AQ45="0",BJ45,0),2)</f>
        <v>0</v>
      </c>
      <c r="AI45" s="116" t="s">
        <v>107</v>
      </c>
      <c r="AJ45" s="144" t="n">
        <f aca="false">IF(AN45=0,K45,0)</f>
        <v>0</v>
      </c>
      <c r="AK45" s="144" t="n">
        <f aca="false">IF(AN45=12,K45,0)</f>
        <v>0</v>
      </c>
      <c r="AL45" s="144" t="n">
        <f aca="false">IF(AN45=21,K45,0)</f>
        <v>0</v>
      </c>
      <c r="AN45" s="88" t="n">
        <v>21</v>
      </c>
      <c r="AO45" s="88" t="n">
        <f aca="false">H45*1</f>
        <v>0</v>
      </c>
      <c r="AP45" s="88" t="n">
        <f aca="false">H45*(1-1)</f>
        <v>0</v>
      </c>
      <c r="AQ45" s="145" t="s">
        <v>176</v>
      </c>
      <c r="AV45" s="88" t="n">
        <f aca="false">ROUND(AW45+AX45,2)</f>
        <v>0</v>
      </c>
      <c r="AW45" s="88" t="n">
        <f aca="false">ROUND(G45*AO45,2)</f>
        <v>0</v>
      </c>
      <c r="AX45" s="88" t="n">
        <f aca="false">ROUND(G45*AP45,2)</f>
        <v>0</v>
      </c>
      <c r="AY45" s="87" t="s">
        <v>326</v>
      </c>
      <c r="AZ45" s="87" t="s">
        <v>327</v>
      </c>
      <c r="BA45" s="116" t="s">
        <v>240</v>
      </c>
      <c r="BC45" s="88" t="n">
        <f aca="false">AW45+AX45</f>
        <v>0</v>
      </c>
      <c r="BD45" s="88" t="n">
        <f aca="false">H45/(100-BE45)*100</f>
        <v>0</v>
      </c>
      <c r="BE45" s="88" t="n">
        <v>0</v>
      </c>
      <c r="BF45" s="88" t="n">
        <f aca="false">M45</f>
        <v>0.4455</v>
      </c>
      <c r="BH45" s="144" t="n">
        <f aca="false">G45*AO45</f>
        <v>0</v>
      </c>
      <c r="BI45" s="144" t="n">
        <f aca="false">G45*AP45</f>
        <v>0</v>
      </c>
      <c r="BJ45" s="144" t="n">
        <f aca="false">G45*H45</f>
        <v>0</v>
      </c>
      <c r="BK45" s="145" t="s">
        <v>180</v>
      </c>
      <c r="BL45" s="88" t="n">
        <v>767</v>
      </c>
      <c r="BW45" s="88" t="n">
        <v>21</v>
      </c>
      <c r="BX45" s="146" t="s">
        <v>332</v>
      </c>
    </row>
    <row r="46" customFormat="false" ht="15" hidden="false" customHeight="true" outlineLevel="0" collapsed="false">
      <c r="A46" s="134" t="s">
        <v>265</v>
      </c>
      <c r="B46" s="134" t="s">
        <v>107</v>
      </c>
      <c r="C46" s="134" t="s">
        <v>334</v>
      </c>
      <c r="D46" s="135" t="s">
        <v>335</v>
      </c>
      <c r="E46" s="135"/>
      <c r="F46" s="134" t="s">
        <v>179</v>
      </c>
      <c r="G46" s="136" t="n">
        <f aca="false">'Stavební rozpočet'!G72</f>
        <v>0.498</v>
      </c>
      <c r="H46" s="137" t="n">
        <f aca="false">'Stavební rozpočet'!H72</f>
        <v>0</v>
      </c>
      <c r="I46" s="137" t="n">
        <f aca="false">ROUND(G46*AO46,2)</f>
        <v>0</v>
      </c>
      <c r="J46" s="137" t="n">
        <f aca="false">ROUND(G46*AP46,2)</f>
        <v>0</v>
      </c>
      <c r="K46" s="137" t="n">
        <f aca="false">ROUND(G46*H46,2)</f>
        <v>0</v>
      </c>
      <c r="L46" s="137" t="n">
        <f aca="false">'Stavební rozpočet'!L72</f>
        <v>0</v>
      </c>
      <c r="M46" s="137" t="n">
        <f aca="false">G46*L46</f>
        <v>0</v>
      </c>
      <c r="N46" s="138" t="s">
        <v>155</v>
      </c>
      <c r="Z46" s="88" t="n">
        <f aca="false">ROUND(IF(AQ46="5",BJ46,0),2)</f>
        <v>0</v>
      </c>
      <c r="AB46" s="88" t="n">
        <f aca="false">ROUND(IF(AQ46="1",BH46,0),2)</f>
        <v>0</v>
      </c>
      <c r="AC46" s="88" t="n">
        <f aca="false">ROUND(IF(AQ46="1",BI46,0),2)</f>
        <v>0</v>
      </c>
      <c r="AD46" s="88" t="n">
        <f aca="false">ROUND(IF(AQ46="7",BH46,0),2)</f>
        <v>0</v>
      </c>
      <c r="AE46" s="88" t="n">
        <f aca="false">ROUND(IF(AQ46="7",BI46,0),2)</f>
        <v>0</v>
      </c>
      <c r="AF46" s="88" t="n">
        <f aca="false">ROUND(IF(AQ46="2",BH46,0),2)</f>
        <v>0</v>
      </c>
      <c r="AG46" s="88" t="n">
        <f aca="false">ROUND(IF(AQ46="2",BI46,0),2)</f>
        <v>0</v>
      </c>
      <c r="AH46" s="88" t="n">
        <f aca="false">ROUND(IF(AQ46="0",BJ46,0),2)</f>
        <v>0</v>
      </c>
      <c r="AI46" s="116" t="s">
        <v>107</v>
      </c>
      <c r="AJ46" s="88" t="n">
        <f aca="false">IF(AN46=0,K46,0)</f>
        <v>0</v>
      </c>
      <c r="AK46" s="88" t="n">
        <f aca="false">IF(AN46=12,K46,0)</f>
        <v>0</v>
      </c>
      <c r="AL46" s="88" t="n">
        <f aca="false">IF(AN46=21,K46,0)</f>
        <v>0</v>
      </c>
      <c r="AN46" s="88" t="n">
        <v>21</v>
      </c>
      <c r="AO46" s="88" t="n">
        <f aca="false">H46*0</f>
        <v>0</v>
      </c>
      <c r="AP46" s="88" t="n">
        <f aca="false">H46*(1-0)</f>
        <v>0</v>
      </c>
      <c r="AQ46" s="87" t="s">
        <v>170</v>
      </c>
      <c r="AV46" s="88" t="n">
        <f aca="false">ROUND(AW46+AX46,2)</f>
        <v>0</v>
      </c>
      <c r="AW46" s="88" t="n">
        <f aca="false">ROUND(G46*AO46,2)</f>
        <v>0</v>
      </c>
      <c r="AX46" s="88" t="n">
        <f aca="false">ROUND(G46*AP46,2)</f>
        <v>0</v>
      </c>
      <c r="AY46" s="87" t="s">
        <v>326</v>
      </c>
      <c r="AZ46" s="87" t="s">
        <v>327</v>
      </c>
      <c r="BA46" s="116" t="s">
        <v>240</v>
      </c>
      <c r="BC46" s="88" t="n">
        <f aca="false">AW46+AX46</f>
        <v>0</v>
      </c>
      <c r="BD46" s="88" t="n">
        <f aca="false">H46/(100-BE46)*100</f>
        <v>0</v>
      </c>
      <c r="BE46" s="88" t="n">
        <v>0</v>
      </c>
      <c r="BF46" s="88" t="n">
        <f aca="false">M46</f>
        <v>0</v>
      </c>
      <c r="BH46" s="88" t="n">
        <f aca="false">G46*AO46</f>
        <v>0</v>
      </c>
      <c r="BI46" s="88" t="n">
        <f aca="false">G46*AP46</f>
        <v>0</v>
      </c>
      <c r="BJ46" s="88" t="n">
        <f aca="false">G46*H46</f>
        <v>0</v>
      </c>
      <c r="BK46" s="87" t="s">
        <v>159</v>
      </c>
      <c r="BL46" s="88" t="n">
        <v>767</v>
      </c>
      <c r="BW46" s="88" t="n">
        <v>21</v>
      </c>
      <c r="BX46" s="9" t="s">
        <v>335</v>
      </c>
    </row>
    <row r="47" customFormat="false" ht="15" hidden="false" customHeight="true" outlineLevel="0" collapsed="false">
      <c r="A47" s="128"/>
      <c r="B47" s="129" t="s">
        <v>107</v>
      </c>
      <c r="C47" s="129" t="s">
        <v>336</v>
      </c>
      <c r="D47" s="130" t="s">
        <v>337</v>
      </c>
      <c r="E47" s="130"/>
      <c r="F47" s="128" t="s">
        <v>97</v>
      </c>
      <c r="G47" s="131" t="s">
        <v>97</v>
      </c>
      <c r="H47" s="128" t="s">
        <v>97</v>
      </c>
      <c r="I47" s="132" t="n">
        <f aca="false">ROUND(SUM(I48:I49),2)</f>
        <v>0</v>
      </c>
      <c r="J47" s="132" t="n">
        <f aca="false">ROUND(SUM(J48:J49),2)</f>
        <v>0</v>
      </c>
      <c r="K47" s="132" t="n">
        <f aca="false">ROUND(SUM(K48:K49),2)</f>
        <v>0</v>
      </c>
      <c r="L47" s="133"/>
      <c r="M47" s="132" t="n">
        <f aca="false">SUM(M48:M49)</f>
        <v>0</v>
      </c>
      <c r="N47" s="133"/>
      <c r="AI47" s="116" t="s">
        <v>107</v>
      </c>
      <c r="AS47" s="107" t="n">
        <f aca="false">SUM(AJ48:AJ49)</f>
        <v>0</v>
      </c>
      <c r="AT47" s="107" t="n">
        <f aca="false">SUM(AK48:AK49)</f>
        <v>0</v>
      </c>
      <c r="AU47" s="107" t="n">
        <f aca="false">SUM(AL48:AL49)</f>
        <v>0</v>
      </c>
    </row>
    <row r="48" customFormat="false" ht="24.05" hidden="false" customHeight="true" outlineLevel="0" collapsed="false">
      <c r="A48" s="134" t="s">
        <v>268</v>
      </c>
      <c r="B48" s="134" t="s">
        <v>107</v>
      </c>
      <c r="C48" s="134" t="s">
        <v>339</v>
      </c>
      <c r="D48" s="135" t="s">
        <v>340</v>
      </c>
      <c r="E48" s="135"/>
      <c r="F48" s="134" t="s">
        <v>163</v>
      </c>
      <c r="G48" s="136" t="n">
        <f aca="false">'Stavební rozpočet'!G74</f>
        <v>8</v>
      </c>
      <c r="H48" s="137" t="n">
        <f aca="false">'Stavební rozpočet'!H74</f>
        <v>0</v>
      </c>
      <c r="I48" s="137" t="n">
        <f aca="false">ROUND(G48*AO48,2)</f>
        <v>0</v>
      </c>
      <c r="J48" s="137" t="n">
        <f aca="false">ROUND(G48*AP48,2)</f>
        <v>0</v>
      </c>
      <c r="K48" s="137" t="n">
        <f aca="false">ROUND(G48*H48,2)</f>
        <v>0</v>
      </c>
      <c r="L48" s="137" t="n">
        <f aca="false">'Stavební rozpočet'!L74</f>
        <v>0</v>
      </c>
      <c r="M48" s="137" t="n">
        <f aca="false">G48*L48</f>
        <v>0</v>
      </c>
      <c r="N48" s="138" t="s">
        <v>155</v>
      </c>
      <c r="Z48" s="88" t="n">
        <f aca="false">ROUND(IF(AQ48="5",BJ48,0),2)</f>
        <v>0</v>
      </c>
      <c r="AB48" s="88" t="n">
        <f aca="false">ROUND(IF(AQ48="1",BH48,0),2)</f>
        <v>0</v>
      </c>
      <c r="AC48" s="88" t="n">
        <f aca="false">ROUND(IF(AQ48="1",BI48,0),2)</f>
        <v>0</v>
      </c>
      <c r="AD48" s="88" t="n">
        <f aca="false">ROUND(IF(AQ48="7",BH48,0),2)</f>
        <v>0</v>
      </c>
      <c r="AE48" s="88" t="n">
        <f aca="false">ROUND(IF(AQ48="7",BI48,0),2)</f>
        <v>0</v>
      </c>
      <c r="AF48" s="88" t="n">
        <f aca="false">ROUND(IF(AQ48="2",BH48,0),2)</f>
        <v>0</v>
      </c>
      <c r="AG48" s="88" t="n">
        <f aca="false">ROUND(IF(AQ48="2",BI48,0),2)</f>
        <v>0</v>
      </c>
      <c r="AH48" s="88" t="n">
        <f aca="false">ROUND(IF(AQ48="0",BJ48,0),2)</f>
        <v>0</v>
      </c>
      <c r="AI48" s="116" t="s">
        <v>107</v>
      </c>
      <c r="AJ48" s="88" t="n">
        <f aca="false">IF(AN48=0,K48,0)</f>
        <v>0</v>
      </c>
      <c r="AK48" s="88" t="n">
        <f aca="false">IF(AN48=12,K48,0)</f>
        <v>0</v>
      </c>
      <c r="AL48" s="88" t="n">
        <f aca="false">IF(AN48=21,K48,0)</f>
        <v>0</v>
      </c>
      <c r="AN48" s="88" t="n">
        <v>21</v>
      </c>
      <c r="AO48" s="88" t="n">
        <f aca="false">H48*0.008298755</f>
        <v>0</v>
      </c>
      <c r="AP48" s="88" t="n">
        <f aca="false">H48*(1-0.008298755)</f>
        <v>0</v>
      </c>
      <c r="AQ48" s="87" t="s">
        <v>151</v>
      </c>
      <c r="AV48" s="88" t="n">
        <f aca="false">ROUND(AW48+AX48,2)</f>
        <v>0</v>
      </c>
      <c r="AW48" s="88" t="n">
        <f aca="false">ROUND(G48*AO48,2)</f>
        <v>0</v>
      </c>
      <c r="AX48" s="88" t="n">
        <f aca="false">ROUND(G48*AP48,2)</f>
        <v>0</v>
      </c>
      <c r="AY48" s="87" t="s">
        <v>341</v>
      </c>
      <c r="AZ48" s="87" t="s">
        <v>342</v>
      </c>
      <c r="BA48" s="116" t="s">
        <v>240</v>
      </c>
      <c r="BC48" s="88" t="n">
        <f aca="false">AW48+AX48</f>
        <v>0</v>
      </c>
      <c r="BD48" s="88" t="n">
        <f aca="false">H48/(100-BE48)*100</f>
        <v>0</v>
      </c>
      <c r="BE48" s="88" t="n">
        <v>0</v>
      </c>
      <c r="BF48" s="88" t="n">
        <f aca="false">M48</f>
        <v>0</v>
      </c>
      <c r="BH48" s="88" t="n">
        <f aca="false">G48*AO48</f>
        <v>0</v>
      </c>
      <c r="BI48" s="88" t="n">
        <f aca="false">G48*AP48</f>
        <v>0</v>
      </c>
      <c r="BJ48" s="88" t="n">
        <f aca="false">G48*H48</f>
        <v>0</v>
      </c>
      <c r="BK48" s="87" t="s">
        <v>159</v>
      </c>
      <c r="BL48" s="88" t="n">
        <v>90</v>
      </c>
      <c r="BW48" s="88" t="n">
        <v>21</v>
      </c>
      <c r="BX48" s="9" t="s">
        <v>340</v>
      </c>
    </row>
    <row r="49" customFormat="false" ht="15" hidden="false" customHeight="true" outlineLevel="0" collapsed="false">
      <c r="A49" s="134" t="s">
        <v>270</v>
      </c>
      <c r="B49" s="134" t="s">
        <v>107</v>
      </c>
      <c r="C49" s="134" t="s">
        <v>344</v>
      </c>
      <c r="D49" s="135" t="s">
        <v>345</v>
      </c>
      <c r="E49" s="135"/>
      <c r="F49" s="134" t="s">
        <v>163</v>
      </c>
      <c r="G49" s="136" t="n">
        <f aca="false">'Stavební rozpočet'!G75</f>
        <v>8</v>
      </c>
      <c r="H49" s="137" t="n">
        <f aca="false">'Stavební rozpočet'!H75</f>
        <v>0</v>
      </c>
      <c r="I49" s="137" t="n">
        <f aca="false">ROUND(G49*AO49,2)</f>
        <v>0</v>
      </c>
      <c r="J49" s="137" t="n">
        <f aca="false">ROUND(G49*AP49,2)</f>
        <v>0</v>
      </c>
      <c r="K49" s="137" t="n">
        <f aca="false">ROUND(G49*H49,2)</f>
        <v>0</v>
      </c>
      <c r="L49" s="137" t="n">
        <f aca="false">'Stavební rozpočet'!L75</f>
        <v>0</v>
      </c>
      <c r="M49" s="137" t="n">
        <f aca="false">G49*L49</f>
        <v>0</v>
      </c>
      <c r="N49" s="138" t="s">
        <v>155</v>
      </c>
      <c r="Z49" s="88" t="n">
        <f aca="false">ROUND(IF(AQ49="5",BJ49,0),2)</f>
        <v>0</v>
      </c>
      <c r="AB49" s="88" t="n">
        <f aca="false">ROUND(IF(AQ49="1",BH49,0),2)</f>
        <v>0</v>
      </c>
      <c r="AC49" s="88" t="n">
        <f aca="false">ROUND(IF(AQ49="1",BI49,0),2)</f>
        <v>0</v>
      </c>
      <c r="AD49" s="88" t="n">
        <f aca="false">ROUND(IF(AQ49="7",BH49,0),2)</f>
        <v>0</v>
      </c>
      <c r="AE49" s="88" t="n">
        <f aca="false">ROUND(IF(AQ49="7",BI49,0),2)</f>
        <v>0</v>
      </c>
      <c r="AF49" s="88" t="n">
        <f aca="false">ROUND(IF(AQ49="2",BH49,0),2)</f>
        <v>0</v>
      </c>
      <c r="AG49" s="88" t="n">
        <f aca="false">ROUND(IF(AQ49="2",BI49,0),2)</f>
        <v>0</v>
      </c>
      <c r="AH49" s="88" t="n">
        <f aca="false">ROUND(IF(AQ49="0",BJ49,0),2)</f>
        <v>0</v>
      </c>
      <c r="AI49" s="116" t="s">
        <v>107</v>
      </c>
      <c r="AJ49" s="88" t="n">
        <f aca="false">IF(AN49=0,K49,0)</f>
        <v>0</v>
      </c>
      <c r="AK49" s="88" t="n">
        <f aca="false">IF(AN49=12,K49,0)</f>
        <v>0</v>
      </c>
      <c r="AL49" s="88" t="n">
        <f aca="false">IF(AN49=21,K49,0)</f>
        <v>0</v>
      </c>
      <c r="AN49" s="88" t="n">
        <v>21</v>
      </c>
      <c r="AO49" s="88" t="n">
        <f aca="false">H49*0</f>
        <v>0</v>
      </c>
      <c r="AP49" s="88" t="n">
        <f aca="false">H49*(1-0)</f>
        <v>0</v>
      </c>
      <c r="AQ49" s="87" t="s">
        <v>151</v>
      </c>
      <c r="AV49" s="88" t="n">
        <f aca="false">ROUND(AW49+AX49,2)</f>
        <v>0</v>
      </c>
      <c r="AW49" s="88" t="n">
        <f aca="false">ROUND(G49*AO49,2)</f>
        <v>0</v>
      </c>
      <c r="AX49" s="88" t="n">
        <f aca="false">ROUND(G49*AP49,2)</f>
        <v>0</v>
      </c>
      <c r="AY49" s="87" t="s">
        <v>341</v>
      </c>
      <c r="AZ49" s="87" t="s">
        <v>342</v>
      </c>
      <c r="BA49" s="116" t="s">
        <v>240</v>
      </c>
      <c r="BC49" s="88" t="n">
        <f aca="false">AW49+AX49</f>
        <v>0</v>
      </c>
      <c r="BD49" s="88" t="n">
        <f aca="false">H49/(100-BE49)*100</f>
        <v>0</v>
      </c>
      <c r="BE49" s="88" t="n">
        <v>0</v>
      </c>
      <c r="BF49" s="88" t="n">
        <f aca="false">M49</f>
        <v>0</v>
      </c>
      <c r="BH49" s="88" t="n">
        <f aca="false">G49*AO49</f>
        <v>0</v>
      </c>
      <c r="BI49" s="88" t="n">
        <f aca="false">G49*AP49</f>
        <v>0</v>
      </c>
      <c r="BJ49" s="88" t="n">
        <f aca="false">G49*H49</f>
        <v>0</v>
      </c>
      <c r="BK49" s="87" t="s">
        <v>159</v>
      </c>
      <c r="BL49" s="88" t="n">
        <v>90</v>
      </c>
      <c r="BW49" s="88" t="n">
        <v>21</v>
      </c>
      <c r="BX49" s="9" t="s">
        <v>345</v>
      </c>
    </row>
    <row r="50" customFormat="false" ht="24.05" hidden="false" customHeight="true" outlineLevel="0" collapsed="false">
      <c r="A50" s="128"/>
      <c r="B50" s="129" t="s">
        <v>107</v>
      </c>
      <c r="C50" s="129" t="s">
        <v>346</v>
      </c>
      <c r="D50" s="130" t="s">
        <v>347</v>
      </c>
      <c r="E50" s="130"/>
      <c r="F50" s="128" t="s">
        <v>97</v>
      </c>
      <c r="G50" s="131" t="s">
        <v>97</v>
      </c>
      <c r="H50" s="128" t="s">
        <v>97</v>
      </c>
      <c r="I50" s="132" t="n">
        <f aca="false">ROUND(SUM(I51:I56),2)</f>
        <v>0</v>
      </c>
      <c r="J50" s="132" t="n">
        <f aca="false">ROUND(SUM(J51:J56),2)</f>
        <v>0</v>
      </c>
      <c r="K50" s="132" t="n">
        <f aca="false">ROUND(SUM(K51:K56),2)</f>
        <v>0</v>
      </c>
      <c r="L50" s="133"/>
      <c r="M50" s="132" t="n">
        <f aca="false">SUM(M51:M56)</f>
        <v>3.587524</v>
      </c>
      <c r="N50" s="133"/>
      <c r="AI50" s="116" t="s">
        <v>107</v>
      </c>
      <c r="AS50" s="107" t="n">
        <f aca="false">SUM(AJ51:AJ56)</f>
        <v>0</v>
      </c>
      <c r="AT50" s="107" t="n">
        <f aca="false">SUM(AK51:AK56)</f>
        <v>0</v>
      </c>
      <c r="AU50" s="107" t="n">
        <f aca="false">SUM(AL51:AL56)</f>
        <v>0</v>
      </c>
    </row>
    <row r="51" customFormat="false" ht="15" hidden="false" customHeight="true" outlineLevel="0" collapsed="false">
      <c r="A51" s="134" t="s">
        <v>271</v>
      </c>
      <c r="B51" s="134" t="s">
        <v>107</v>
      </c>
      <c r="C51" s="134" t="s">
        <v>349</v>
      </c>
      <c r="D51" s="135" t="s">
        <v>350</v>
      </c>
      <c r="E51" s="135"/>
      <c r="F51" s="134" t="s">
        <v>169</v>
      </c>
      <c r="G51" s="136" t="n">
        <f aca="false">'Stavební rozpočet'!G77</f>
        <v>6.853</v>
      </c>
      <c r="H51" s="137" t="n">
        <f aca="false">'Stavební rozpočet'!H77</f>
        <v>0</v>
      </c>
      <c r="I51" s="137" t="n">
        <f aca="false">ROUND(G51*AO51,2)</f>
        <v>0</v>
      </c>
      <c r="J51" s="137" t="n">
        <f aca="false">ROUND(G51*AP51,2)</f>
        <v>0</v>
      </c>
      <c r="K51" s="137" t="n">
        <f aca="false">ROUND(G51*H51,2)</f>
        <v>0</v>
      </c>
      <c r="L51" s="137" t="n">
        <f aca="false">'Stavební rozpočet'!L77</f>
        <v>0.23</v>
      </c>
      <c r="M51" s="137" t="n">
        <f aca="false">G51*L51</f>
        <v>1.57619</v>
      </c>
      <c r="N51" s="138" t="s">
        <v>155</v>
      </c>
      <c r="Z51" s="88" t="n">
        <f aca="false">ROUND(IF(AQ51="5",BJ51,0),2)</f>
        <v>0</v>
      </c>
      <c r="AB51" s="88" t="n">
        <f aca="false">ROUND(IF(AQ51="1",BH51,0),2)</f>
        <v>0</v>
      </c>
      <c r="AC51" s="88" t="n">
        <f aca="false">ROUND(IF(AQ51="1",BI51,0),2)</f>
        <v>0</v>
      </c>
      <c r="AD51" s="88" t="n">
        <f aca="false">ROUND(IF(AQ51="7",BH51,0),2)</f>
        <v>0</v>
      </c>
      <c r="AE51" s="88" t="n">
        <f aca="false">ROUND(IF(AQ51="7",BI51,0),2)</f>
        <v>0</v>
      </c>
      <c r="AF51" s="88" t="n">
        <f aca="false">ROUND(IF(AQ51="2",BH51,0),2)</f>
        <v>0</v>
      </c>
      <c r="AG51" s="88" t="n">
        <f aca="false">ROUND(IF(AQ51="2",BI51,0),2)</f>
        <v>0</v>
      </c>
      <c r="AH51" s="88" t="n">
        <f aca="false">ROUND(IF(AQ51="0",BJ51,0),2)</f>
        <v>0</v>
      </c>
      <c r="AI51" s="116" t="s">
        <v>107</v>
      </c>
      <c r="AJ51" s="88" t="n">
        <f aca="false">IF(AN51=0,K51,0)</f>
        <v>0</v>
      </c>
      <c r="AK51" s="88" t="n">
        <f aca="false">IF(AN51=12,K51,0)</f>
        <v>0</v>
      </c>
      <c r="AL51" s="88" t="n">
        <f aca="false">IF(AN51=21,K51,0)</f>
        <v>0</v>
      </c>
      <c r="AN51" s="88" t="n">
        <v>21</v>
      </c>
      <c r="AO51" s="88" t="n">
        <f aca="false">H51*0.772986711</f>
        <v>0</v>
      </c>
      <c r="AP51" s="88" t="n">
        <f aca="false">H51*(1-0.772986711)</f>
        <v>0</v>
      </c>
      <c r="AQ51" s="87" t="s">
        <v>151</v>
      </c>
      <c r="AV51" s="88" t="n">
        <f aca="false">ROUND(AW51+AX51,2)</f>
        <v>0</v>
      </c>
      <c r="AW51" s="88" t="n">
        <f aca="false">ROUND(G51*AO51,2)</f>
        <v>0</v>
      </c>
      <c r="AX51" s="88" t="n">
        <f aca="false">ROUND(G51*AP51,2)</f>
        <v>0</v>
      </c>
      <c r="AY51" s="87" t="s">
        <v>351</v>
      </c>
      <c r="AZ51" s="87" t="s">
        <v>342</v>
      </c>
      <c r="BA51" s="116" t="s">
        <v>240</v>
      </c>
      <c r="BC51" s="88" t="n">
        <f aca="false">AW51+AX51</f>
        <v>0</v>
      </c>
      <c r="BD51" s="88" t="n">
        <f aca="false">H51/(100-BE51)*100</f>
        <v>0</v>
      </c>
      <c r="BE51" s="88" t="n">
        <v>0</v>
      </c>
      <c r="BF51" s="88" t="n">
        <f aca="false">M51</f>
        <v>1.57619</v>
      </c>
      <c r="BH51" s="88" t="n">
        <f aca="false">G51*AO51</f>
        <v>0</v>
      </c>
      <c r="BI51" s="88" t="n">
        <f aca="false">G51*AP51</f>
        <v>0</v>
      </c>
      <c r="BJ51" s="88" t="n">
        <f aca="false">G51*H51</f>
        <v>0</v>
      </c>
      <c r="BK51" s="87" t="s">
        <v>159</v>
      </c>
      <c r="BL51" s="88" t="n">
        <v>91</v>
      </c>
      <c r="BW51" s="88" t="n">
        <v>21</v>
      </c>
      <c r="BX51" s="9" t="s">
        <v>350</v>
      </c>
    </row>
    <row r="52" customFormat="false" ht="15" hidden="false" customHeight="true" outlineLevel="0" collapsed="false">
      <c r="A52" s="134" t="s">
        <v>276</v>
      </c>
      <c r="B52" s="134" t="s">
        <v>107</v>
      </c>
      <c r="C52" s="134" t="s">
        <v>353</v>
      </c>
      <c r="D52" s="135" t="s">
        <v>354</v>
      </c>
      <c r="E52" s="135"/>
      <c r="F52" s="134" t="s">
        <v>169</v>
      </c>
      <c r="G52" s="136" t="n">
        <f aca="false">'Stavební rozpočet'!G78</f>
        <v>5.46</v>
      </c>
      <c r="H52" s="137" t="n">
        <f aca="false">'Stavební rozpočet'!H78</f>
        <v>0</v>
      </c>
      <c r="I52" s="137" t="n">
        <f aca="false">ROUND(G52*AO52,2)</f>
        <v>0</v>
      </c>
      <c r="J52" s="137" t="n">
        <f aca="false">ROUND(G52*AP52,2)</f>
        <v>0</v>
      </c>
      <c r="K52" s="137" t="n">
        <f aca="false">ROUND(G52*H52,2)</f>
        <v>0</v>
      </c>
      <c r="L52" s="137" t="n">
        <f aca="false">'Stavební rozpočet'!L78</f>
        <v>0</v>
      </c>
      <c r="M52" s="137" t="n">
        <f aca="false">G52*L52</f>
        <v>0</v>
      </c>
      <c r="N52" s="138" t="s">
        <v>155</v>
      </c>
      <c r="Z52" s="88" t="n">
        <f aca="false">ROUND(IF(AQ52="5",BJ52,0),2)</f>
        <v>0</v>
      </c>
      <c r="AB52" s="88" t="n">
        <f aca="false">ROUND(IF(AQ52="1",BH52,0),2)</f>
        <v>0</v>
      </c>
      <c r="AC52" s="88" t="n">
        <f aca="false">ROUND(IF(AQ52="1",BI52,0),2)</f>
        <v>0</v>
      </c>
      <c r="AD52" s="88" t="n">
        <f aca="false">ROUND(IF(AQ52="7",BH52,0),2)</f>
        <v>0</v>
      </c>
      <c r="AE52" s="88" t="n">
        <f aca="false">ROUND(IF(AQ52="7",BI52,0),2)</f>
        <v>0</v>
      </c>
      <c r="AF52" s="88" t="n">
        <f aca="false">ROUND(IF(AQ52="2",BH52,0),2)</f>
        <v>0</v>
      </c>
      <c r="AG52" s="88" t="n">
        <f aca="false">ROUND(IF(AQ52="2",BI52,0),2)</f>
        <v>0</v>
      </c>
      <c r="AH52" s="88" t="n">
        <f aca="false">ROUND(IF(AQ52="0",BJ52,0),2)</f>
        <v>0</v>
      </c>
      <c r="AI52" s="116" t="s">
        <v>107</v>
      </c>
      <c r="AJ52" s="88" t="n">
        <f aca="false">IF(AN52=0,K52,0)</f>
        <v>0</v>
      </c>
      <c r="AK52" s="88" t="n">
        <f aca="false">IF(AN52=12,K52,0)</f>
        <v>0</v>
      </c>
      <c r="AL52" s="88" t="n">
        <f aca="false">IF(AN52=21,K52,0)</f>
        <v>0</v>
      </c>
      <c r="AN52" s="88" t="n">
        <v>21</v>
      </c>
      <c r="AO52" s="88" t="n">
        <f aca="false">H52*0</f>
        <v>0</v>
      </c>
      <c r="AP52" s="88" t="n">
        <f aca="false">H52*(1-0)</f>
        <v>0</v>
      </c>
      <c r="AQ52" s="87" t="s">
        <v>151</v>
      </c>
      <c r="AV52" s="88" t="n">
        <f aca="false">ROUND(AW52+AX52,2)</f>
        <v>0</v>
      </c>
      <c r="AW52" s="88" t="n">
        <f aca="false">ROUND(G52*AO52,2)</f>
        <v>0</v>
      </c>
      <c r="AX52" s="88" t="n">
        <f aca="false">ROUND(G52*AP52,2)</f>
        <v>0</v>
      </c>
      <c r="AY52" s="87" t="s">
        <v>351</v>
      </c>
      <c r="AZ52" s="87" t="s">
        <v>342</v>
      </c>
      <c r="BA52" s="116" t="s">
        <v>240</v>
      </c>
      <c r="BC52" s="88" t="n">
        <f aca="false">AW52+AX52</f>
        <v>0</v>
      </c>
      <c r="BD52" s="88" t="n">
        <f aca="false">H52/(100-BE52)*100</f>
        <v>0</v>
      </c>
      <c r="BE52" s="88" t="n">
        <v>0</v>
      </c>
      <c r="BF52" s="88" t="n">
        <f aca="false">M52</f>
        <v>0</v>
      </c>
      <c r="BH52" s="88" t="n">
        <f aca="false">G52*AO52</f>
        <v>0</v>
      </c>
      <c r="BI52" s="88" t="n">
        <f aca="false">G52*AP52</f>
        <v>0</v>
      </c>
      <c r="BJ52" s="88" t="n">
        <f aca="false">G52*H52</f>
        <v>0</v>
      </c>
      <c r="BK52" s="87" t="s">
        <v>159</v>
      </c>
      <c r="BL52" s="88" t="n">
        <v>91</v>
      </c>
      <c r="BW52" s="88" t="n">
        <v>21</v>
      </c>
      <c r="BX52" s="9" t="s">
        <v>354</v>
      </c>
    </row>
    <row r="53" customFormat="false" ht="15" hidden="false" customHeight="true" outlineLevel="0" collapsed="false">
      <c r="A53" s="139" t="s">
        <v>281</v>
      </c>
      <c r="B53" s="139" t="s">
        <v>107</v>
      </c>
      <c r="C53" s="139" t="s">
        <v>356</v>
      </c>
      <c r="D53" s="140" t="s">
        <v>357</v>
      </c>
      <c r="E53" s="140"/>
      <c r="F53" s="139" t="s">
        <v>179</v>
      </c>
      <c r="G53" s="141" t="n">
        <f aca="false">'Stavební rozpočet'!G79</f>
        <v>0.481</v>
      </c>
      <c r="H53" s="142" t="n">
        <f aca="false">'Stavební rozpočet'!H79</f>
        <v>0</v>
      </c>
      <c r="I53" s="142" t="n">
        <f aca="false">ROUND(G53*AO53,2)</f>
        <v>0</v>
      </c>
      <c r="J53" s="142" t="n">
        <f aca="false">ROUND(G53*AP53,2)</f>
        <v>0</v>
      </c>
      <c r="K53" s="142" t="n">
        <f aca="false">ROUND(G53*H53,2)</f>
        <v>0</v>
      </c>
      <c r="L53" s="142" t="n">
        <f aca="false">'Stavební rozpočet'!L79</f>
        <v>1</v>
      </c>
      <c r="M53" s="142" t="n">
        <f aca="false">G53*L53</f>
        <v>0.481</v>
      </c>
      <c r="N53" s="143" t="s">
        <v>155</v>
      </c>
      <c r="Z53" s="88" t="n">
        <f aca="false">ROUND(IF(AQ53="5",BJ53,0),2)</f>
        <v>0</v>
      </c>
      <c r="AB53" s="88" t="n">
        <f aca="false">ROUND(IF(AQ53="1",BH53,0),2)</f>
        <v>0</v>
      </c>
      <c r="AC53" s="88" t="n">
        <f aca="false">ROUND(IF(AQ53="1",BI53,0),2)</f>
        <v>0</v>
      </c>
      <c r="AD53" s="88" t="n">
        <f aca="false">ROUND(IF(AQ53="7",BH53,0),2)</f>
        <v>0</v>
      </c>
      <c r="AE53" s="88" t="n">
        <f aca="false">ROUND(IF(AQ53="7",BI53,0),2)</f>
        <v>0</v>
      </c>
      <c r="AF53" s="88" t="n">
        <f aca="false">ROUND(IF(AQ53="2",BH53,0),2)</f>
        <v>0</v>
      </c>
      <c r="AG53" s="88" t="n">
        <f aca="false">ROUND(IF(AQ53="2",BI53,0),2)</f>
        <v>0</v>
      </c>
      <c r="AH53" s="88" t="n">
        <f aca="false">ROUND(IF(AQ53="0",BJ53,0),2)</f>
        <v>0</v>
      </c>
      <c r="AI53" s="116" t="s">
        <v>107</v>
      </c>
      <c r="AJ53" s="144" t="n">
        <f aca="false">IF(AN53=0,K53,0)</f>
        <v>0</v>
      </c>
      <c r="AK53" s="144" t="n">
        <f aca="false">IF(AN53=12,K53,0)</f>
        <v>0</v>
      </c>
      <c r="AL53" s="144" t="n">
        <f aca="false">IF(AN53=21,K53,0)</f>
        <v>0</v>
      </c>
      <c r="AN53" s="88" t="n">
        <v>21</v>
      </c>
      <c r="AO53" s="88" t="n">
        <f aca="false">H53*1</f>
        <v>0</v>
      </c>
      <c r="AP53" s="88" t="n">
        <f aca="false">H53*(1-1)</f>
        <v>0</v>
      </c>
      <c r="AQ53" s="145" t="s">
        <v>151</v>
      </c>
      <c r="AV53" s="88" t="n">
        <f aca="false">ROUND(AW53+AX53,2)</f>
        <v>0</v>
      </c>
      <c r="AW53" s="88" t="n">
        <f aca="false">ROUND(G53*AO53,2)</f>
        <v>0</v>
      </c>
      <c r="AX53" s="88" t="n">
        <f aca="false">ROUND(G53*AP53,2)</f>
        <v>0</v>
      </c>
      <c r="AY53" s="87" t="s">
        <v>351</v>
      </c>
      <c r="AZ53" s="87" t="s">
        <v>342</v>
      </c>
      <c r="BA53" s="116" t="s">
        <v>240</v>
      </c>
      <c r="BC53" s="88" t="n">
        <f aca="false">AW53+AX53</f>
        <v>0</v>
      </c>
      <c r="BD53" s="88" t="n">
        <f aca="false">H53/(100-BE53)*100</f>
        <v>0</v>
      </c>
      <c r="BE53" s="88" t="n">
        <v>0</v>
      </c>
      <c r="BF53" s="88" t="n">
        <f aca="false">M53</f>
        <v>0.481</v>
      </c>
      <c r="BH53" s="144" t="n">
        <f aca="false">G53*AO53</f>
        <v>0</v>
      </c>
      <c r="BI53" s="144" t="n">
        <f aca="false">G53*AP53</f>
        <v>0</v>
      </c>
      <c r="BJ53" s="144" t="n">
        <f aca="false">G53*H53</f>
        <v>0</v>
      </c>
      <c r="BK53" s="145" t="s">
        <v>180</v>
      </c>
      <c r="BL53" s="88" t="n">
        <v>91</v>
      </c>
      <c r="BW53" s="88" t="n">
        <v>21</v>
      </c>
      <c r="BX53" s="146" t="s">
        <v>357</v>
      </c>
    </row>
    <row r="54" customFormat="false" ht="15" hidden="false" customHeight="true" outlineLevel="0" collapsed="false">
      <c r="A54" s="134" t="s">
        <v>284</v>
      </c>
      <c r="B54" s="134" t="s">
        <v>107</v>
      </c>
      <c r="C54" s="134" t="s">
        <v>359</v>
      </c>
      <c r="D54" s="135" t="s">
        <v>360</v>
      </c>
      <c r="E54" s="135"/>
      <c r="F54" s="134" t="s">
        <v>154</v>
      </c>
      <c r="G54" s="136" t="n">
        <f aca="false">'Stavební rozpočet'!G80</f>
        <v>13</v>
      </c>
      <c r="H54" s="137" t="n">
        <f aca="false">'Stavební rozpočet'!H80</f>
        <v>0</v>
      </c>
      <c r="I54" s="137" t="n">
        <f aca="false">ROUND(G54*AO54,2)</f>
        <v>0</v>
      </c>
      <c r="J54" s="137" t="n">
        <f aca="false">ROUND(G54*AP54,2)</f>
        <v>0</v>
      </c>
      <c r="K54" s="137" t="n">
        <f aca="false">ROUND(G54*H54,2)</f>
        <v>0</v>
      </c>
      <c r="L54" s="137" t="n">
        <f aca="false">'Stavební rozpočet'!L80</f>
        <v>0.07348</v>
      </c>
      <c r="M54" s="137" t="n">
        <f aca="false">G54*L54</f>
        <v>0.95524</v>
      </c>
      <c r="N54" s="138" t="s">
        <v>155</v>
      </c>
      <c r="Z54" s="88" t="n">
        <f aca="false">ROUND(IF(AQ54="5",BJ54,0),2)</f>
        <v>0</v>
      </c>
      <c r="AB54" s="88" t="n">
        <f aca="false">ROUND(IF(AQ54="1",BH54,0),2)</f>
        <v>0</v>
      </c>
      <c r="AC54" s="88" t="n">
        <f aca="false">ROUND(IF(AQ54="1",BI54,0),2)</f>
        <v>0</v>
      </c>
      <c r="AD54" s="88" t="n">
        <f aca="false">ROUND(IF(AQ54="7",BH54,0),2)</f>
        <v>0</v>
      </c>
      <c r="AE54" s="88" t="n">
        <f aca="false">ROUND(IF(AQ54="7",BI54,0),2)</f>
        <v>0</v>
      </c>
      <c r="AF54" s="88" t="n">
        <f aca="false">ROUND(IF(AQ54="2",BH54,0),2)</f>
        <v>0</v>
      </c>
      <c r="AG54" s="88" t="n">
        <f aca="false">ROUND(IF(AQ54="2",BI54,0),2)</f>
        <v>0</v>
      </c>
      <c r="AH54" s="88" t="n">
        <f aca="false">ROUND(IF(AQ54="0",BJ54,0),2)</f>
        <v>0</v>
      </c>
      <c r="AI54" s="116" t="s">
        <v>107</v>
      </c>
      <c r="AJ54" s="88" t="n">
        <f aca="false">IF(AN54=0,K54,0)</f>
        <v>0</v>
      </c>
      <c r="AK54" s="88" t="n">
        <f aca="false">IF(AN54=12,K54,0)</f>
        <v>0</v>
      </c>
      <c r="AL54" s="88" t="n">
        <f aca="false">IF(AN54=21,K54,0)</f>
        <v>0</v>
      </c>
      <c r="AN54" s="88" t="n">
        <v>21</v>
      </c>
      <c r="AO54" s="88" t="n">
        <f aca="false">H54*0.131805549</f>
        <v>0</v>
      </c>
      <c r="AP54" s="88" t="n">
        <f aca="false">H54*(1-0.131805549)</f>
        <v>0</v>
      </c>
      <c r="AQ54" s="87" t="s">
        <v>151</v>
      </c>
      <c r="AV54" s="88" t="n">
        <f aca="false">ROUND(AW54+AX54,2)</f>
        <v>0</v>
      </c>
      <c r="AW54" s="88" t="n">
        <f aca="false">ROUND(G54*AO54,2)</f>
        <v>0</v>
      </c>
      <c r="AX54" s="88" t="n">
        <f aca="false">ROUND(G54*AP54,2)</f>
        <v>0</v>
      </c>
      <c r="AY54" s="87" t="s">
        <v>351</v>
      </c>
      <c r="AZ54" s="87" t="s">
        <v>342</v>
      </c>
      <c r="BA54" s="116" t="s">
        <v>240</v>
      </c>
      <c r="BC54" s="88" t="n">
        <f aca="false">AW54+AX54</f>
        <v>0</v>
      </c>
      <c r="BD54" s="88" t="n">
        <f aca="false">H54/(100-BE54)*100</f>
        <v>0</v>
      </c>
      <c r="BE54" s="88" t="n">
        <v>0</v>
      </c>
      <c r="BF54" s="88" t="n">
        <f aca="false">M54</f>
        <v>0.95524</v>
      </c>
      <c r="BH54" s="88" t="n">
        <f aca="false">G54*AO54</f>
        <v>0</v>
      </c>
      <c r="BI54" s="88" t="n">
        <f aca="false">G54*AP54</f>
        <v>0</v>
      </c>
      <c r="BJ54" s="88" t="n">
        <f aca="false">G54*H54</f>
        <v>0</v>
      </c>
      <c r="BK54" s="87" t="s">
        <v>159</v>
      </c>
      <c r="BL54" s="88" t="n">
        <v>91</v>
      </c>
      <c r="BW54" s="88" t="n">
        <v>21</v>
      </c>
      <c r="BX54" s="9" t="s">
        <v>360</v>
      </c>
    </row>
    <row r="55" customFormat="false" ht="15" hidden="false" customHeight="true" outlineLevel="0" collapsed="false">
      <c r="A55" s="139" t="s">
        <v>287</v>
      </c>
      <c r="B55" s="139" t="s">
        <v>107</v>
      </c>
      <c r="C55" s="139" t="s">
        <v>361</v>
      </c>
      <c r="D55" s="140" t="s">
        <v>362</v>
      </c>
      <c r="E55" s="140"/>
      <c r="F55" s="139" t="s">
        <v>202</v>
      </c>
      <c r="G55" s="141" t="n">
        <f aca="false">'Stavební rozpočet'!G81</f>
        <v>13.13</v>
      </c>
      <c r="H55" s="142" t="n">
        <f aca="false">'Stavební rozpočet'!H81</f>
        <v>0</v>
      </c>
      <c r="I55" s="142" t="n">
        <f aca="false">ROUND(G55*AO55,2)</f>
        <v>0</v>
      </c>
      <c r="J55" s="142" t="n">
        <f aca="false">ROUND(G55*AP55,2)</f>
        <v>0</v>
      </c>
      <c r="K55" s="142" t="n">
        <f aca="false">ROUND(G55*H55,2)</f>
        <v>0</v>
      </c>
      <c r="L55" s="142" t="n">
        <f aca="false">'Stavební rozpočet'!L81</f>
        <v>0.0438</v>
      </c>
      <c r="M55" s="142" t="n">
        <f aca="false">G55*L55</f>
        <v>0.575094</v>
      </c>
      <c r="N55" s="143" t="s">
        <v>155</v>
      </c>
      <c r="Z55" s="88" t="n">
        <f aca="false">ROUND(IF(AQ55="5",BJ55,0),2)</f>
        <v>0</v>
      </c>
      <c r="AB55" s="88" t="n">
        <f aca="false">ROUND(IF(AQ55="1",BH55,0),2)</f>
        <v>0</v>
      </c>
      <c r="AC55" s="88" t="n">
        <f aca="false">ROUND(IF(AQ55="1",BI55,0),2)</f>
        <v>0</v>
      </c>
      <c r="AD55" s="88" t="n">
        <f aca="false">ROUND(IF(AQ55="7",BH55,0),2)</f>
        <v>0</v>
      </c>
      <c r="AE55" s="88" t="n">
        <f aca="false">ROUND(IF(AQ55="7",BI55,0),2)</f>
        <v>0</v>
      </c>
      <c r="AF55" s="88" t="n">
        <f aca="false">ROUND(IF(AQ55="2",BH55,0),2)</f>
        <v>0</v>
      </c>
      <c r="AG55" s="88" t="n">
        <f aca="false">ROUND(IF(AQ55="2",BI55,0),2)</f>
        <v>0</v>
      </c>
      <c r="AH55" s="88" t="n">
        <f aca="false">ROUND(IF(AQ55="0",BJ55,0),2)</f>
        <v>0</v>
      </c>
      <c r="AI55" s="116" t="s">
        <v>107</v>
      </c>
      <c r="AJ55" s="144" t="n">
        <f aca="false">IF(AN55=0,K55,0)</f>
        <v>0</v>
      </c>
      <c r="AK55" s="144" t="n">
        <f aca="false">IF(AN55=12,K55,0)</f>
        <v>0</v>
      </c>
      <c r="AL55" s="144" t="n">
        <f aca="false">IF(AN55=21,K55,0)</f>
        <v>0</v>
      </c>
      <c r="AN55" s="88" t="n">
        <v>21</v>
      </c>
      <c r="AO55" s="88" t="n">
        <f aca="false">H55*1</f>
        <v>0</v>
      </c>
      <c r="AP55" s="88" t="n">
        <f aca="false">H55*(1-1)</f>
        <v>0</v>
      </c>
      <c r="AQ55" s="145" t="s">
        <v>151</v>
      </c>
      <c r="AV55" s="88" t="n">
        <f aca="false">ROUND(AW55+AX55,2)</f>
        <v>0</v>
      </c>
      <c r="AW55" s="88" t="n">
        <f aca="false">ROUND(G55*AO55,2)</f>
        <v>0</v>
      </c>
      <c r="AX55" s="88" t="n">
        <f aca="false">ROUND(G55*AP55,2)</f>
        <v>0</v>
      </c>
      <c r="AY55" s="87" t="s">
        <v>351</v>
      </c>
      <c r="AZ55" s="87" t="s">
        <v>342</v>
      </c>
      <c r="BA55" s="116" t="s">
        <v>240</v>
      </c>
      <c r="BC55" s="88" t="n">
        <f aca="false">AW55+AX55</f>
        <v>0</v>
      </c>
      <c r="BD55" s="88" t="n">
        <f aca="false">H55/(100-BE55)*100</f>
        <v>0</v>
      </c>
      <c r="BE55" s="88" t="n">
        <v>0</v>
      </c>
      <c r="BF55" s="88" t="n">
        <f aca="false">M55</f>
        <v>0.575094</v>
      </c>
      <c r="BH55" s="144" t="n">
        <f aca="false">G55*AO55</f>
        <v>0</v>
      </c>
      <c r="BI55" s="144" t="n">
        <f aca="false">G55*AP55</f>
        <v>0</v>
      </c>
      <c r="BJ55" s="144" t="n">
        <f aca="false">G55*H55</f>
        <v>0</v>
      </c>
      <c r="BK55" s="145" t="s">
        <v>180</v>
      </c>
      <c r="BL55" s="88" t="n">
        <v>91</v>
      </c>
      <c r="BW55" s="88" t="n">
        <v>21</v>
      </c>
      <c r="BX55" s="146" t="s">
        <v>362</v>
      </c>
    </row>
    <row r="56" customFormat="false" ht="15" hidden="false" customHeight="true" outlineLevel="0" collapsed="false">
      <c r="A56" s="134" t="s">
        <v>290</v>
      </c>
      <c r="B56" s="134" t="s">
        <v>107</v>
      </c>
      <c r="C56" s="134" t="s">
        <v>318</v>
      </c>
      <c r="D56" s="135" t="s">
        <v>319</v>
      </c>
      <c r="E56" s="135"/>
      <c r="F56" s="134" t="s">
        <v>179</v>
      </c>
      <c r="G56" s="136" t="n">
        <f aca="false">'Stavební rozpočet'!G82</f>
        <v>3.587</v>
      </c>
      <c r="H56" s="137" t="n">
        <f aca="false">'Stavební rozpočet'!H82</f>
        <v>0</v>
      </c>
      <c r="I56" s="137" t="n">
        <f aca="false">ROUND(G56*AO56,2)</f>
        <v>0</v>
      </c>
      <c r="J56" s="137" t="n">
        <f aca="false">ROUND(G56*AP56,2)</f>
        <v>0</v>
      </c>
      <c r="K56" s="137" t="n">
        <f aca="false">ROUND(G56*H56,2)</f>
        <v>0</v>
      </c>
      <c r="L56" s="137" t="n">
        <f aca="false">'Stavební rozpočet'!L82</f>
        <v>0</v>
      </c>
      <c r="M56" s="137" t="n">
        <f aca="false">G56*L56</f>
        <v>0</v>
      </c>
      <c r="N56" s="138" t="s">
        <v>155</v>
      </c>
      <c r="Z56" s="88" t="n">
        <f aca="false">ROUND(IF(AQ56="5",BJ56,0),2)</f>
        <v>0</v>
      </c>
      <c r="AB56" s="88" t="n">
        <f aca="false">ROUND(IF(AQ56="1",BH56,0),2)</f>
        <v>0</v>
      </c>
      <c r="AC56" s="88" t="n">
        <f aca="false">ROUND(IF(AQ56="1",BI56,0),2)</f>
        <v>0</v>
      </c>
      <c r="AD56" s="88" t="n">
        <f aca="false">ROUND(IF(AQ56="7",BH56,0),2)</f>
        <v>0</v>
      </c>
      <c r="AE56" s="88" t="n">
        <f aca="false">ROUND(IF(AQ56="7",BI56,0),2)</f>
        <v>0</v>
      </c>
      <c r="AF56" s="88" t="n">
        <f aca="false">ROUND(IF(AQ56="2",BH56,0),2)</f>
        <v>0</v>
      </c>
      <c r="AG56" s="88" t="n">
        <f aca="false">ROUND(IF(AQ56="2",BI56,0),2)</f>
        <v>0</v>
      </c>
      <c r="AH56" s="88" t="n">
        <f aca="false">ROUND(IF(AQ56="0",BJ56,0),2)</f>
        <v>0</v>
      </c>
      <c r="AI56" s="116" t="s">
        <v>107</v>
      </c>
      <c r="AJ56" s="88" t="n">
        <f aca="false">IF(AN56=0,K56,0)</f>
        <v>0</v>
      </c>
      <c r="AK56" s="88" t="n">
        <f aca="false">IF(AN56=12,K56,0)</f>
        <v>0</v>
      </c>
      <c r="AL56" s="88" t="n">
        <f aca="false">IF(AN56=21,K56,0)</f>
        <v>0</v>
      </c>
      <c r="AN56" s="88" t="n">
        <v>21</v>
      </c>
      <c r="AO56" s="88" t="n">
        <f aca="false">H56*0</f>
        <v>0</v>
      </c>
      <c r="AP56" s="88" t="n">
        <f aca="false">H56*(1-0)</f>
        <v>0</v>
      </c>
      <c r="AQ56" s="87" t="s">
        <v>170</v>
      </c>
      <c r="AV56" s="88" t="n">
        <f aca="false">ROUND(AW56+AX56,2)</f>
        <v>0</v>
      </c>
      <c r="AW56" s="88" t="n">
        <f aca="false">ROUND(G56*AO56,2)</f>
        <v>0</v>
      </c>
      <c r="AX56" s="88" t="n">
        <f aca="false">ROUND(G56*AP56,2)</f>
        <v>0</v>
      </c>
      <c r="AY56" s="87" t="s">
        <v>351</v>
      </c>
      <c r="AZ56" s="87" t="s">
        <v>342</v>
      </c>
      <c r="BA56" s="116" t="s">
        <v>240</v>
      </c>
      <c r="BC56" s="88" t="n">
        <f aca="false">AW56+AX56</f>
        <v>0</v>
      </c>
      <c r="BD56" s="88" t="n">
        <f aca="false">H56/(100-BE56)*100</f>
        <v>0</v>
      </c>
      <c r="BE56" s="88" t="n">
        <v>0</v>
      </c>
      <c r="BF56" s="88" t="n">
        <f aca="false">M56</f>
        <v>0</v>
      </c>
      <c r="BH56" s="88" t="n">
        <f aca="false">G56*AO56</f>
        <v>0</v>
      </c>
      <c r="BI56" s="88" t="n">
        <f aca="false">G56*AP56</f>
        <v>0</v>
      </c>
      <c r="BJ56" s="88" t="n">
        <f aca="false">G56*H56</f>
        <v>0</v>
      </c>
      <c r="BK56" s="87" t="s">
        <v>159</v>
      </c>
      <c r="BL56" s="88" t="n">
        <v>91</v>
      </c>
      <c r="BW56" s="88" t="n">
        <v>21</v>
      </c>
      <c r="BX56" s="9" t="s">
        <v>319</v>
      </c>
    </row>
    <row r="57" customFormat="false" ht="19.85" hidden="false" customHeight="true" outlineLevel="0" collapsed="false">
      <c r="I57" s="101" t="s">
        <v>114</v>
      </c>
      <c r="J57" s="101"/>
      <c r="K57" s="167" t="n">
        <f aca="false">ROUND(SUM(K13,K27,K42,K47,K50),1)</f>
        <v>0</v>
      </c>
    </row>
    <row r="58" customFormat="false" ht="15" hidden="false" customHeight="false" outlineLevel="0" collapsed="false">
      <c r="A58" s="1"/>
    </row>
    <row r="59" customFormat="false" ht="15" hidden="true" customHeight="false" outlineLevel="0" collapsed="false">
      <c r="A59" s="9"/>
      <c r="B59" s="9"/>
      <c r="C59" s="9"/>
      <c r="D59" s="9"/>
      <c r="E59" s="9"/>
      <c r="F59" s="9"/>
      <c r="G59" s="9"/>
      <c r="H59" s="9"/>
      <c r="I59" s="9"/>
      <c r="J59" s="9"/>
      <c r="K59" s="9"/>
      <c r="L59" s="9"/>
      <c r="M59" s="9"/>
      <c r="N59" s="9"/>
    </row>
  </sheetData>
  <mergeCells count="76">
    <mergeCell ref="A1:N1"/>
    <mergeCell ref="A2:B3"/>
    <mergeCell ref="C2:D3"/>
    <mergeCell ref="E2:E3"/>
    <mergeCell ref="F2:G3"/>
    <mergeCell ref="H2:H3"/>
    <mergeCell ref="I2:N3"/>
    <mergeCell ref="A4:B5"/>
    <mergeCell ref="C4:D5"/>
    <mergeCell ref="E4:E5"/>
    <mergeCell ref="F4:G5"/>
    <mergeCell ref="H4:H5"/>
    <mergeCell ref="I4:N5"/>
    <mergeCell ref="A6:B7"/>
    <mergeCell ref="C6:D7"/>
    <mergeCell ref="E6:E7"/>
    <mergeCell ref="F6:G7"/>
    <mergeCell ref="H6:H7"/>
    <mergeCell ref="I6:N7"/>
    <mergeCell ref="A8:B9"/>
    <mergeCell ref="C8:D9"/>
    <mergeCell ref="E8:E9"/>
    <mergeCell ref="F8:G9"/>
    <mergeCell ref="H8:H9"/>
    <mergeCell ref="I8:N9"/>
    <mergeCell ref="D10:E10"/>
    <mergeCell ref="I10:K10"/>
    <mergeCell ref="L10:M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I57:J57"/>
    <mergeCell ref="A59:N59"/>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2979FF"/>
    <pageSetUpPr fitToPage="true"/>
  </sheetPr>
  <dimension ref="A1:H10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1484375" defaultRowHeight="15" customHeight="true" zeroHeight="false" outlineLevelRow="0" outlineLevelCol="0"/>
  <cols>
    <col collapsed="false" customWidth="true" hidden="false" outlineLevel="0" max="1" min="1" style="22" width="4.98"/>
    <col collapsed="false" customWidth="true" hidden="false" outlineLevel="0" max="2" min="2" style="22" width="9.14"/>
    <col collapsed="false" customWidth="true" hidden="false" outlineLevel="0" max="3" min="3" style="22" width="14.29"/>
    <col collapsed="false" customWidth="true" hidden="false" outlineLevel="0" max="4" min="4" style="103" width="42.86"/>
    <col collapsed="false" customWidth="true" hidden="false" outlineLevel="0" max="5" min="5" style="22" width="56.05"/>
    <col collapsed="false" customWidth="true" hidden="false" outlineLevel="0" max="6" min="6" style="22" width="24.14"/>
    <col collapsed="false" customWidth="true" hidden="false" outlineLevel="0" max="7" min="7" style="22" width="15.71"/>
    <col collapsed="false" customWidth="true" hidden="false" outlineLevel="0" max="8" min="8" style="22" width="20"/>
  </cols>
  <sheetData>
    <row r="1" customFormat="false" ht="39.7" hidden="false" customHeight="true" outlineLevel="0" collapsed="false">
      <c r="A1" s="106" t="s">
        <v>784</v>
      </c>
      <c r="B1" s="106"/>
      <c r="C1" s="106"/>
      <c r="D1" s="106"/>
      <c r="E1" s="106"/>
      <c r="F1" s="106"/>
      <c r="G1" s="106"/>
      <c r="H1" s="106"/>
    </row>
    <row r="2" customFormat="false" ht="15" hidden="false" customHeight="true" outlineLevel="0" collapsed="false">
      <c r="A2" s="3" t="s">
        <v>1</v>
      </c>
      <c r="B2" s="3"/>
      <c r="C2" s="4" t="str">
        <f aca="false">'Stavební rozpočet'!C2</f>
        <v>Přeměna sídlištních ploch – II. Etapa _ Fontána Jablko</v>
      </c>
      <c r="D2" s="4"/>
      <c r="E2" s="5" t="s">
        <v>2</v>
      </c>
      <c r="F2" s="73" t="str">
        <f aca="false">'Stavební rozpočet'!I2</f>
        <v>Městská část Praha 12, Generála Šišky 2375/6, 143</v>
      </c>
      <c r="G2" s="73"/>
      <c r="H2" s="73"/>
    </row>
    <row r="3" customFormat="false" ht="15" hidden="false" customHeight="false" outlineLevel="0" collapsed="false">
      <c r="A3" s="3"/>
      <c r="B3" s="3"/>
      <c r="C3" s="4"/>
      <c r="D3" s="4"/>
      <c r="E3" s="5"/>
      <c r="F3" s="5"/>
      <c r="G3" s="73"/>
      <c r="H3" s="73"/>
    </row>
    <row r="4" customFormat="false" ht="15" hidden="false" customHeight="true" outlineLevel="0" collapsed="false">
      <c r="A4" s="8" t="s">
        <v>5</v>
      </c>
      <c r="B4" s="8"/>
      <c r="C4" s="9" t="str">
        <f aca="false">'Stavební rozpočet'!C4</f>
        <v>Stavební úpravy veřejného prostranství _Fontána Jablko</v>
      </c>
      <c r="D4" s="9"/>
      <c r="E4" s="9" t="s">
        <v>6</v>
      </c>
      <c r="F4" s="74" t="str">
        <f aca="false">'Stavební rozpočet'!I4</f>
        <v>HUA HUA ARCHITECTS s.r.o., Porážka 459/2, 602 00 Brno</v>
      </c>
      <c r="G4" s="74"/>
      <c r="H4" s="74"/>
    </row>
    <row r="5" customFormat="false" ht="15" hidden="false" customHeight="false" outlineLevel="0" collapsed="false">
      <c r="A5" s="8"/>
      <c r="B5" s="8"/>
      <c r="C5" s="9"/>
      <c r="D5" s="9"/>
      <c r="E5" s="9"/>
      <c r="F5" s="9"/>
      <c r="G5" s="74"/>
      <c r="H5" s="74"/>
    </row>
    <row r="6" customFormat="false" ht="15" hidden="false" customHeight="true" outlineLevel="0" collapsed="false">
      <c r="A6" s="8" t="s">
        <v>8</v>
      </c>
      <c r="B6" s="8"/>
      <c r="C6" s="9" t="str">
        <f aca="false">'Stavební rozpočet'!C6</f>
        <v>Praha (554782),Modřany (728616), par.č. 4400/448</v>
      </c>
      <c r="D6" s="9"/>
      <c r="E6" s="9" t="s">
        <v>9</v>
      </c>
      <c r="F6" s="74" t="str">
        <f aca="false">'Stavební rozpočet'!I6</f>
        <v> </v>
      </c>
      <c r="G6" s="74"/>
      <c r="H6" s="74"/>
    </row>
    <row r="7" customFormat="false" ht="15" hidden="false" customHeight="false" outlineLevel="0" collapsed="false">
      <c r="A7" s="8"/>
      <c r="B7" s="8"/>
      <c r="C7" s="9"/>
      <c r="D7" s="9"/>
      <c r="E7" s="9"/>
      <c r="F7" s="9"/>
      <c r="G7" s="74"/>
      <c r="H7" s="74"/>
    </row>
    <row r="8" customFormat="false" ht="15" hidden="false" customHeight="true" outlineLevel="0" collapsed="false">
      <c r="A8" s="8" t="s">
        <v>14</v>
      </c>
      <c r="B8" s="8"/>
      <c r="C8" s="9" t="str">
        <f aca="false">'Stavební rozpočet'!I8</f>
        <v>Bohuslav Hemala</v>
      </c>
      <c r="D8" s="9"/>
      <c r="E8" s="9" t="s">
        <v>96</v>
      </c>
      <c r="F8" s="74" t="str">
        <f aca="false">'Stavební rozpočet'!F8</f>
        <v>08.01.2026</v>
      </c>
      <c r="G8" s="74"/>
      <c r="H8" s="74"/>
    </row>
    <row r="9" customFormat="false" ht="15" hidden="false" customHeight="false" outlineLevel="0" collapsed="false">
      <c r="A9" s="8"/>
      <c r="B9" s="8"/>
      <c r="C9" s="9"/>
      <c r="D9" s="9"/>
      <c r="E9" s="9"/>
      <c r="F9" s="9"/>
      <c r="G9" s="74"/>
      <c r="H9" s="74"/>
    </row>
    <row r="10" customFormat="false" ht="15" hidden="false" customHeight="true" outlineLevel="0" collapsed="false">
      <c r="A10" s="169" t="s">
        <v>124</v>
      </c>
      <c r="B10" s="170" t="s">
        <v>100</v>
      </c>
      <c r="C10" s="170" t="s">
        <v>125</v>
      </c>
      <c r="D10" s="171" t="s">
        <v>101</v>
      </c>
      <c r="E10" s="171"/>
      <c r="F10" s="170" t="s">
        <v>126</v>
      </c>
      <c r="G10" s="172" t="s">
        <v>127</v>
      </c>
      <c r="H10" s="173" t="s">
        <v>637</v>
      </c>
    </row>
    <row r="11" customFormat="false" ht="15" hidden="false" customHeight="true" outlineLevel="0" collapsed="false">
      <c r="A11" s="129"/>
      <c r="B11" s="129" t="s">
        <v>638</v>
      </c>
      <c r="C11" s="129" t="s">
        <v>206</v>
      </c>
      <c r="D11" s="130" t="s">
        <v>234</v>
      </c>
      <c r="E11" s="130"/>
      <c r="F11" s="129"/>
      <c r="G11" s="133"/>
      <c r="H11" s="133"/>
    </row>
    <row r="12" customFormat="false" ht="15" hidden="false" customHeight="true" outlineLevel="0" collapsed="false">
      <c r="A12" s="129"/>
      <c r="B12" s="129" t="s">
        <v>638</v>
      </c>
      <c r="C12" s="129" t="s">
        <v>274</v>
      </c>
      <c r="D12" s="130" t="s">
        <v>275</v>
      </c>
      <c r="E12" s="130"/>
      <c r="F12" s="129"/>
      <c r="G12" s="133"/>
      <c r="H12" s="133"/>
    </row>
    <row r="13" customFormat="false" ht="15" hidden="false" customHeight="true" outlineLevel="0" collapsed="false">
      <c r="A13" s="129"/>
      <c r="B13" s="129" t="s">
        <v>638</v>
      </c>
      <c r="C13" s="129" t="s">
        <v>320</v>
      </c>
      <c r="D13" s="130" t="s">
        <v>321</v>
      </c>
      <c r="E13" s="130"/>
      <c r="F13" s="129"/>
      <c r="G13" s="133"/>
      <c r="H13" s="133"/>
    </row>
    <row r="14" customFormat="false" ht="15" hidden="false" customHeight="true" outlineLevel="0" collapsed="false">
      <c r="A14" s="129"/>
      <c r="B14" s="129" t="s">
        <v>638</v>
      </c>
      <c r="C14" s="129" t="s">
        <v>336</v>
      </c>
      <c r="D14" s="130" t="s">
        <v>337</v>
      </c>
      <c r="E14" s="130"/>
      <c r="F14" s="129"/>
      <c r="G14" s="133"/>
      <c r="H14" s="133"/>
    </row>
    <row r="15" customFormat="false" ht="15" hidden="false" customHeight="true" outlineLevel="0" collapsed="false">
      <c r="A15" s="129"/>
      <c r="B15" s="129" t="s">
        <v>638</v>
      </c>
      <c r="C15" s="129" t="s">
        <v>346</v>
      </c>
      <c r="D15" s="130" t="s">
        <v>347</v>
      </c>
      <c r="E15" s="130"/>
      <c r="F15" s="129"/>
      <c r="G15" s="133"/>
      <c r="H15" s="133"/>
    </row>
    <row r="16" customFormat="false" ht="15" hidden="false" customHeight="true" outlineLevel="0" collapsed="false">
      <c r="A16" s="134" t="s">
        <v>151</v>
      </c>
      <c r="B16" s="134" t="s">
        <v>107</v>
      </c>
      <c r="C16" s="134" t="s">
        <v>236</v>
      </c>
      <c r="D16" s="135" t="s">
        <v>237</v>
      </c>
      <c r="E16" s="135"/>
      <c r="F16" s="134" t="s">
        <v>189</v>
      </c>
      <c r="G16" s="137" t="n">
        <v>2.01</v>
      </c>
      <c r="H16" s="137" t="n">
        <v>0</v>
      </c>
    </row>
    <row r="17" customFormat="false" ht="15" hidden="false" customHeight="false" outlineLevel="0" collapsed="false">
      <c r="A17" s="174"/>
      <c r="B17" s="174"/>
      <c r="C17" s="174"/>
      <c r="D17" s="175" t="s">
        <v>665</v>
      </c>
      <c r="E17" s="176"/>
      <c r="F17" s="176"/>
      <c r="G17" s="177" t="n">
        <v>2.01</v>
      </c>
      <c r="H17" s="174"/>
    </row>
    <row r="18" customFormat="false" ht="15" hidden="false" customHeight="true" outlineLevel="0" collapsed="false">
      <c r="A18" s="134" t="s">
        <v>160</v>
      </c>
      <c r="B18" s="134" t="s">
        <v>107</v>
      </c>
      <c r="C18" s="134" t="s">
        <v>242</v>
      </c>
      <c r="D18" s="135" t="s">
        <v>243</v>
      </c>
      <c r="E18" s="135"/>
      <c r="F18" s="134" t="s">
        <v>189</v>
      </c>
      <c r="G18" s="137" t="n">
        <v>2.193</v>
      </c>
      <c r="H18" s="137" t="n">
        <v>0</v>
      </c>
    </row>
    <row r="19" customFormat="false" ht="15" hidden="false" customHeight="false" outlineLevel="0" collapsed="false">
      <c r="A19" s="174"/>
      <c r="B19" s="174"/>
      <c r="C19" s="174"/>
      <c r="D19" s="175" t="s">
        <v>666</v>
      </c>
      <c r="E19" s="176"/>
      <c r="F19" s="176"/>
      <c r="G19" s="177" t="n">
        <v>2.193</v>
      </c>
      <c r="H19" s="174"/>
    </row>
    <row r="20" customFormat="false" ht="15" hidden="false" customHeight="true" outlineLevel="0" collapsed="false">
      <c r="A20" s="134" t="s">
        <v>164</v>
      </c>
      <c r="B20" s="134" t="s">
        <v>107</v>
      </c>
      <c r="C20" s="134" t="s">
        <v>245</v>
      </c>
      <c r="D20" s="135" t="s">
        <v>246</v>
      </c>
      <c r="E20" s="135"/>
      <c r="F20" s="134" t="s">
        <v>189</v>
      </c>
      <c r="G20" s="137" t="n">
        <v>5.184</v>
      </c>
      <c r="H20" s="137" t="n">
        <v>0</v>
      </c>
    </row>
    <row r="21" customFormat="false" ht="15" hidden="false" customHeight="false" outlineLevel="0" collapsed="false">
      <c r="A21" s="174"/>
      <c r="B21" s="174"/>
      <c r="C21" s="174"/>
      <c r="D21" s="175" t="s">
        <v>667</v>
      </c>
      <c r="E21" s="176"/>
      <c r="F21" s="176"/>
      <c r="G21" s="177" t="n">
        <v>5.184</v>
      </c>
      <c r="H21" s="174"/>
    </row>
    <row r="22" customFormat="false" ht="15" hidden="false" customHeight="true" outlineLevel="0" collapsed="false">
      <c r="A22" s="134" t="s">
        <v>166</v>
      </c>
      <c r="B22" s="134" t="s">
        <v>107</v>
      </c>
      <c r="C22" s="134" t="s">
        <v>248</v>
      </c>
      <c r="D22" s="135" t="s">
        <v>249</v>
      </c>
      <c r="E22" s="135"/>
      <c r="F22" s="134" t="s">
        <v>189</v>
      </c>
      <c r="G22" s="137" t="n">
        <v>3.906</v>
      </c>
      <c r="H22" s="137" t="n">
        <v>0</v>
      </c>
    </row>
    <row r="23" customFormat="false" ht="15" hidden="false" customHeight="false" outlineLevel="0" collapsed="false">
      <c r="A23" s="174"/>
      <c r="B23" s="174"/>
      <c r="C23" s="174"/>
      <c r="D23" s="175" t="s">
        <v>668</v>
      </c>
      <c r="E23" s="176"/>
      <c r="F23" s="176"/>
      <c r="G23" s="177" t="n">
        <v>3.906</v>
      </c>
      <c r="H23" s="174"/>
    </row>
    <row r="24" customFormat="false" ht="15" hidden="false" customHeight="true" outlineLevel="0" collapsed="false">
      <c r="A24" s="134" t="s">
        <v>170</v>
      </c>
      <c r="B24" s="134" t="s">
        <v>107</v>
      </c>
      <c r="C24" s="134" t="s">
        <v>251</v>
      </c>
      <c r="D24" s="135" t="s">
        <v>252</v>
      </c>
      <c r="E24" s="135"/>
      <c r="F24" s="134" t="s">
        <v>189</v>
      </c>
      <c r="G24" s="137" t="n">
        <v>1.96</v>
      </c>
      <c r="H24" s="137" t="n">
        <v>0</v>
      </c>
    </row>
    <row r="25" customFormat="false" ht="15" hidden="false" customHeight="false" outlineLevel="0" collapsed="false">
      <c r="A25" s="174"/>
      <c r="B25" s="174"/>
      <c r="C25" s="174"/>
      <c r="D25" s="175" t="s">
        <v>669</v>
      </c>
      <c r="E25" s="176"/>
      <c r="F25" s="176"/>
      <c r="G25" s="177" t="n">
        <v>1.96</v>
      </c>
      <c r="H25" s="174"/>
    </row>
    <row r="26" customFormat="false" ht="15" hidden="false" customHeight="true" outlineLevel="0" collapsed="false">
      <c r="A26" s="134" t="s">
        <v>173</v>
      </c>
      <c r="B26" s="134" t="s">
        <v>107</v>
      </c>
      <c r="C26" s="134" t="s">
        <v>254</v>
      </c>
      <c r="D26" s="135" t="s">
        <v>255</v>
      </c>
      <c r="E26" s="135"/>
      <c r="F26" s="134" t="s">
        <v>189</v>
      </c>
      <c r="G26" s="137" t="n">
        <v>1.96</v>
      </c>
      <c r="H26" s="137" t="n">
        <v>0</v>
      </c>
    </row>
    <row r="27" customFormat="false" ht="15" hidden="false" customHeight="false" outlineLevel="0" collapsed="false">
      <c r="A27" s="174"/>
      <c r="B27" s="174"/>
      <c r="C27" s="174"/>
      <c r="D27" s="175" t="s">
        <v>670</v>
      </c>
      <c r="E27" s="176"/>
      <c r="F27" s="176"/>
      <c r="G27" s="177" t="n">
        <v>1.96</v>
      </c>
      <c r="H27" s="174"/>
    </row>
    <row r="28" customFormat="false" ht="15" hidden="false" customHeight="true" outlineLevel="0" collapsed="false">
      <c r="A28" s="134" t="s">
        <v>176</v>
      </c>
      <c r="B28" s="134" t="s">
        <v>107</v>
      </c>
      <c r="C28" s="134" t="s">
        <v>257</v>
      </c>
      <c r="D28" s="135" t="s">
        <v>258</v>
      </c>
      <c r="E28" s="135"/>
      <c r="F28" s="134" t="s">
        <v>189</v>
      </c>
      <c r="G28" s="137" t="n">
        <v>3.92</v>
      </c>
      <c r="H28" s="137" t="n">
        <v>0</v>
      </c>
    </row>
    <row r="29" customFormat="false" ht="15" hidden="false" customHeight="false" outlineLevel="0" collapsed="false">
      <c r="A29" s="174"/>
      <c r="B29" s="174"/>
      <c r="C29" s="174"/>
      <c r="D29" s="175" t="s">
        <v>671</v>
      </c>
      <c r="E29" s="176"/>
      <c r="F29" s="176"/>
      <c r="G29" s="177" t="n">
        <v>3.92</v>
      </c>
      <c r="H29" s="174"/>
    </row>
    <row r="30" customFormat="false" ht="15" hidden="false" customHeight="true" outlineLevel="0" collapsed="false">
      <c r="A30" s="134" t="s">
        <v>181</v>
      </c>
      <c r="B30" s="134" t="s">
        <v>107</v>
      </c>
      <c r="C30" s="134" t="s">
        <v>260</v>
      </c>
      <c r="D30" s="135" t="s">
        <v>261</v>
      </c>
      <c r="E30" s="135"/>
      <c r="F30" s="134" t="s">
        <v>189</v>
      </c>
      <c r="G30" s="137" t="n">
        <v>13.293</v>
      </c>
      <c r="H30" s="137" t="n">
        <v>0</v>
      </c>
    </row>
    <row r="31" customFormat="false" ht="15" hidden="false" customHeight="false" outlineLevel="0" collapsed="false">
      <c r="A31" s="174"/>
      <c r="B31" s="174"/>
      <c r="C31" s="174"/>
      <c r="D31" s="175" t="s">
        <v>672</v>
      </c>
      <c r="E31" s="176"/>
      <c r="F31" s="176"/>
      <c r="G31" s="177" t="n">
        <v>13.293</v>
      </c>
      <c r="H31" s="174"/>
    </row>
    <row r="32" customFormat="false" ht="15" hidden="false" customHeight="true" outlineLevel="0" collapsed="false">
      <c r="A32" s="134" t="s">
        <v>186</v>
      </c>
      <c r="B32" s="134" t="s">
        <v>107</v>
      </c>
      <c r="C32" s="134" t="s">
        <v>263</v>
      </c>
      <c r="D32" s="135" t="s">
        <v>264</v>
      </c>
      <c r="E32" s="135"/>
      <c r="F32" s="134" t="s">
        <v>189</v>
      </c>
      <c r="G32" s="137" t="n">
        <v>0.98</v>
      </c>
      <c r="H32" s="137" t="n">
        <v>0</v>
      </c>
    </row>
    <row r="33" customFormat="false" ht="15" hidden="false" customHeight="false" outlineLevel="0" collapsed="false">
      <c r="A33" s="174"/>
      <c r="B33" s="174"/>
      <c r="C33" s="174"/>
      <c r="D33" s="175" t="s">
        <v>673</v>
      </c>
      <c r="E33" s="176"/>
      <c r="F33" s="176"/>
      <c r="G33" s="177" t="n">
        <v>0.98</v>
      </c>
      <c r="H33" s="174"/>
    </row>
    <row r="34" customFormat="false" ht="15" hidden="false" customHeight="true" outlineLevel="0" collapsed="false">
      <c r="A34" s="134" t="s">
        <v>192</v>
      </c>
      <c r="B34" s="134" t="s">
        <v>107</v>
      </c>
      <c r="C34" s="134" t="s">
        <v>266</v>
      </c>
      <c r="D34" s="135" t="s">
        <v>267</v>
      </c>
      <c r="E34" s="135"/>
      <c r="F34" s="134" t="s">
        <v>189</v>
      </c>
      <c r="G34" s="137" t="n">
        <v>14.7</v>
      </c>
      <c r="H34" s="137" t="n">
        <v>0</v>
      </c>
    </row>
    <row r="35" customFormat="false" ht="15" hidden="false" customHeight="false" outlineLevel="0" collapsed="false">
      <c r="A35" s="174"/>
      <c r="B35" s="174"/>
      <c r="C35" s="174"/>
      <c r="D35" s="175" t="s">
        <v>674</v>
      </c>
      <c r="E35" s="176"/>
      <c r="F35" s="176"/>
      <c r="G35" s="177" t="n">
        <v>14.7</v>
      </c>
      <c r="H35" s="174"/>
    </row>
    <row r="36" customFormat="false" ht="15" hidden="false" customHeight="true" outlineLevel="0" collapsed="false">
      <c r="A36" s="134" t="s">
        <v>149</v>
      </c>
      <c r="B36" s="134" t="s">
        <v>107</v>
      </c>
      <c r="C36" s="134" t="s">
        <v>263</v>
      </c>
      <c r="D36" s="135" t="s">
        <v>269</v>
      </c>
      <c r="E36" s="135"/>
      <c r="F36" s="134" t="s">
        <v>189</v>
      </c>
      <c r="G36" s="137" t="n">
        <v>12.313</v>
      </c>
      <c r="H36" s="137" t="n">
        <v>0</v>
      </c>
    </row>
    <row r="37" customFormat="false" ht="15" hidden="false" customHeight="false" outlineLevel="0" collapsed="false">
      <c r="A37" s="174"/>
      <c r="B37" s="174"/>
      <c r="C37" s="174"/>
      <c r="D37" s="175" t="s">
        <v>675</v>
      </c>
      <c r="E37" s="176"/>
      <c r="F37" s="176"/>
      <c r="G37" s="177" t="n">
        <v>12.313</v>
      </c>
      <c r="H37" s="174"/>
    </row>
    <row r="38" customFormat="false" ht="15" hidden="false" customHeight="true" outlineLevel="0" collapsed="false">
      <c r="A38" s="134" t="s">
        <v>199</v>
      </c>
      <c r="B38" s="134" t="s">
        <v>107</v>
      </c>
      <c r="C38" s="134" t="s">
        <v>266</v>
      </c>
      <c r="D38" s="135" t="s">
        <v>267</v>
      </c>
      <c r="E38" s="135"/>
      <c r="F38" s="134" t="s">
        <v>189</v>
      </c>
      <c r="G38" s="137" t="n">
        <v>184.695</v>
      </c>
      <c r="H38" s="137" t="n">
        <v>0</v>
      </c>
    </row>
    <row r="39" customFormat="false" ht="15" hidden="false" customHeight="false" outlineLevel="0" collapsed="false">
      <c r="A39" s="174"/>
      <c r="B39" s="174"/>
      <c r="C39" s="174"/>
      <c r="D39" s="175" t="s">
        <v>676</v>
      </c>
      <c r="E39" s="176"/>
      <c r="F39" s="176"/>
      <c r="G39" s="177" t="n">
        <v>184.695</v>
      </c>
      <c r="H39" s="174"/>
    </row>
    <row r="40" customFormat="false" ht="15" hidden="false" customHeight="true" outlineLevel="0" collapsed="false">
      <c r="A40" s="134" t="s">
        <v>206</v>
      </c>
      <c r="B40" s="134" t="s">
        <v>107</v>
      </c>
      <c r="C40" s="134" t="s">
        <v>272</v>
      </c>
      <c r="D40" s="135" t="s">
        <v>273</v>
      </c>
      <c r="E40" s="135"/>
      <c r="F40" s="134" t="s">
        <v>189</v>
      </c>
      <c r="G40" s="137" t="n">
        <v>12.313</v>
      </c>
      <c r="H40" s="137" t="n">
        <v>0</v>
      </c>
    </row>
    <row r="41" customFormat="false" ht="15" hidden="false" customHeight="false" outlineLevel="0" collapsed="false">
      <c r="A41" s="174"/>
      <c r="B41" s="174"/>
      <c r="C41" s="174"/>
      <c r="D41" s="175" t="s">
        <v>677</v>
      </c>
      <c r="E41" s="176"/>
      <c r="F41" s="176"/>
      <c r="G41" s="177" t="n">
        <v>12.313</v>
      </c>
      <c r="H41" s="174"/>
    </row>
    <row r="42" customFormat="false" ht="15" hidden="false" customHeight="true" outlineLevel="0" collapsed="false">
      <c r="A42" s="134" t="s">
        <v>210</v>
      </c>
      <c r="B42" s="134" t="s">
        <v>107</v>
      </c>
      <c r="C42" s="134" t="s">
        <v>277</v>
      </c>
      <c r="D42" s="135" t="s">
        <v>278</v>
      </c>
      <c r="E42" s="135"/>
      <c r="F42" s="134" t="s">
        <v>169</v>
      </c>
      <c r="G42" s="137" t="n">
        <v>6.7</v>
      </c>
      <c r="H42" s="137" t="n">
        <v>0</v>
      </c>
    </row>
    <row r="43" customFormat="false" ht="15" hidden="false" customHeight="false" outlineLevel="0" collapsed="false">
      <c r="A43" s="174"/>
      <c r="B43" s="174"/>
      <c r="C43" s="174"/>
      <c r="D43" s="175" t="s">
        <v>678</v>
      </c>
      <c r="E43" s="176"/>
      <c r="F43" s="176"/>
      <c r="G43" s="177" t="n">
        <v>6.7</v>
      </c>
      <c r="H43" s="174"/>
    </row>
    <row r="44" customFormat="false" ht="15" hidden="false" customHeight="true" outlineLevel="0" collapsed="false">
      <c r="A44" s="134" t="s">
        <v>213</v>
      </c>
      <c r="B44" s="134" t="s">
        <v>107</v>
      </c>
      <c r="C44" s="134" t="s">
        <v>282</v>
      </c>
      <c r="D44" s="135" t="s">
        <v>283</v>
      </c>
      <c r="E44" s="135"/>
      <c r="F44" s="134" t="s">
        <v>169</v>
      </c>
      <c r="G44" s="137" t="n">
        <v>6.7</v>
      </c>
      <c r="H44" s="137" t="n">
        <v>0</v>
      </c>
    </row>
    <row r="45" customFormat="false" ht="15" hidden="false" customHeight="false" outlineLevel="0" collapsed="false">
      <c r="A45" s="174"/>
      <c r="B45" s="174"/>
      <c r="C45" s="174"/>
      <c r="D45" s="175" t="s">
        <v>678</v>
      </c>
      <c r="E45" s="176"/>
      <c r="F45" s="176"/>
      <c r="G45" s="177" t="n">
        <v>6.7</v>
      </c>
      <c r="H45" s="174"/>
    </row>
    <row r="46" customFormat="false" ht="15" hidden="false" customHeight="true" outlineLevel="0" collapsed="false">
      <c r="A46" s="139" t="s">
        <v>216</v>
      </c>
      <c r="B46" s="139" t="s">
        <v>107</v>
      </c>
      <c r="C46" s="139" t="s">
        <v>285</v>
      </c>
      <c r="D46" s="140" t="s">
        <v>286</v>
      </c>
      <c r="E46" s="140"/>
      <c r="F46" s="139" t="s">
        <v>169</v>
      </c>
      <c r="G46" s="142" t="n">
        <v>6.767</v>
      </c>
      <c r="H46" s="142" t="n">
        <v>0</v>
      </c>
    </row>
    <row r="47" customFormat="false" ht="15" hidden="false" customHeight="false" outlineLevel="0" collapsed="false">
      <c r="A47" s="174"/>
      <c r="B47" s="174"/>
      <c r="C47" s="174"/>
      <c r="D47" s="175" t="s">
        <v>678</v>
      </c>
      <c r="E47" s="176"/>
      <c r="F47" s="176"/>
      <c r="G47" s="178" t="n">
        <v>6.7</v>
      </c>
      <c r="H47" s="174"/>
    </row>
    <row r="48" customFormat="false" ht="15" hidden="false" customHeight="false" outlineLevel="0" collapsed="false">
      <c r="A48" s="139"/>
      <c r="B48" s="139"/>
      <c r="C48" s="139"/>
      <c r="D48" s="175" t="s">
        <v>679</v>
      </c>
      <c r="E48" s="176"/>
      <c r="F48" s="176"/>
      <c r="G48" s="178" t="n">
        <v>0.067</v>
      </c>
      <c r="H48" s="143"/>
    </row>
    <row r="49" customFormat="false" ht="15" hidden="false" customHeight="true" outlineLevel="0" collapsed="false">
      <c r="A49" s="134" t="s">
        <v>219</v>
      </c>
      <c r="B49" s="134" t="s">
        <v>107</v>
      </c>
      <c r="C49" s="134" t="s">
        <v>288</v>
      </c>
      <c r="D49" s="135" t="s">
        <v>289</v>
      </c>
      <c r="E49" s="135"/>
      <c r="F49" s="134" t="s">
        <v>169</v>
      </c>
      <c r="G49" s="137" t="n">
        <v>6.7</v>
      </c>
      <c r="H49" s="137" t="n">
        <v>0</v>
      </c>
    </row>
    <row r="50" customFormat="false" ht="15" hidden="false" customHeight="false" outlineLevel="0" collapsed="false">
      <c r="A50" s="174"/>
      <c r="B50" s="174"/>
      <c r="C50" s="174"/>
      <c r="D50" s="175" t="s">
        <v>678</v>
      </c>
      <c r="E50" s="176"/>
      <c r="F50" s="176"/>
      <c r="G50" s="177" t="n">
        <v>6.7</v>
      </c>
      <c r="H50" s="174"/>
    </row>
    <row r="51" customFormat="false" ht="15" hidden="false" customHeight="true" outlineLevel="0" collapsed="false">
      <c r="A51" s="134" t="s">
        <v>222</v>
      </c>
      <c r="B51" s="134" t="s">
        <v>107</v>
      </c>
      <c r="C51" s="134" t="s">
        <v>291</v>
      </c>
      <c r="D51" s="135" t="s">
        <v>292</v>
      </c>
      <c r="E51" s="135"/>
      <c r="F51" s="134" t="s">
        <v>154</v>
      </c>
      <c r="G51" s="137" t="n">
        <v>5.8</v>
      </c>
      <c r="H51" s="137" t="n">
        <v>0</v>
      </c>
    </row>
    <row r="52" customFormat="false" ht="15" hidden="false" customHeight="false" outlineLevel="0" collapsed="false">
      <c r="A52" s="174"/>
      <c r="B52" s="174"/>
      <c r="C52" s="174"/>
      <c r="D52" s="175" t="s">
        <v>680</v>
      </c>
      <c r="E52" s="176"/>
      <c r="F52" s="176"/>
      <c r="G52" s="177" t="n">
        <v>5.8</v>
      </c>
      <c r="H52" s="174"/>
    </row>
    <row r="53" customFormat="false" ht="24.05" hidden="false" customHeight="true" outlineLevel="0" collapsed="false">
      <c r="A53" s="134" t="s">
        <v>225</v>
      </c>
      <c r="B53" s="134" t="s">
        <v>107</v>
      </c>
      <c r="C53" s="134" t="s">
        <v>294</v>
      </c>
      <c r="D53" s="135" t="s">
        <v>295</v>
      </c>
      <c r="E53" s="135"/>
      <c r="F53" s="134" t="s">
        <v>189</v>
      </c>
      <c r="G53" s="137" t="n">
        <v>1.928</v>
      </c>
      <c r="H53" s="137" t="n">
        <v>0</v>
      </c>
    </row>
    <row r="54" customFormat="false" ht="15" hidden="false" customHeight="false" outlineLevel="0" collapsed="false">
      <c r="A54" s="174"/>
      <c r="B54" s="174"/>
      <c r="C54" s="174"/>
      <c r="D54" s="175" t="s">
        <v>681</v>
      </c>
      <c r="E54" s="176"/>
      <c r="F54" s="176"/>
      <c r="G54" s="177" t="n">
        <v>1.928</v>
      </c>
      <c r="H54" s="174"/>
    </row>
    <row r="55" customFormat="false" ht="15" hidden="false" customHeight="true" outlineLevel="0" collapsed="false">
      <c r="A55" s="134" t="s">
        <v>228</v>
      </c>
      <c r="B55" s="134" t="s">
        <v>107</v>
      </c>
      <c r="C55" s="134" t="s">
        <v>297</v>
      </c>
      <c r="D55" s="135" t="s">
        <v>298</v>
      </c>
      <c r="E55" s="135"/>
      <c r="F55" s="134" t="s">
        <v>169</v>
      </c>
      <c r="G55" s="137" t="n">
        <v>70.1</v>
      </c>
      <c r="H55" s="137" t="n">
        <v>0</v>
      </c>
    </row>
    <row r="56" customFormat="false" ht="15" hidden="false" customHeight="false" outlineLevel="0" collapsed="false">
      <c r="A56" s="174"/>
      <c r="B56" s="174"/>
      <c r="C56" s="174"/>
      <c r="D56" s="175" t="s">
        <v>682</v>
      </c>
      <c r="E56" s="176"/>
      <c r="F56" s="176"/>
      <c r="G56" s="177" t="n">
        <v>70.1</v>
      </c>
      <c r="H56" s="174"/>
    </row>
    <row r="57" customFormat="false" ht="15" hidden="false" customHeight="true" outlineLevel="0" collapsed="false">
      <c r="A57" s="139" t="s">
        <v>231</v>
      </c>
      <c r="B57" s="139" t="s">
        <v>107</v>
      </c>
      <c r="C57" s="139" t="s">
        <v>300</v>
      </c>
      <c r="D57" s="140" t="s">
        <v>301</v>
      </c>
      <c r="E57" s="140"/>
      <c r="F57" s="139" t="s">
        <v>169</v>
      </c>
      <c r="G57" s="142" t="n">
        <v>71.502</v>
      </c>
      <c r="H57" s="142" t="n">
        <v>0</v>
      </c>
    </row>
    <row r="58" customFormat="false" ht="15" hidden="false" customHeight="false" outlineLevel="0" collapsed="false">
      <c r="A58" s="174"/>
      <c r="B58" s="174"/>
      <c r="C58" s="174"/>
      <c r="D58" s="175" t="s">
        <v>682</v>
      </c>
      <c r="E58" s="176"/>
      <c r="F58" s="176"/>
      <c r="G58" s="178" t="n">
        <v>70.1</v>
      </c>
      <c r="H58" s="174"/>
    </row>
    <row r="59" customFormat="false" ht="15" hidden="false" customHeight="false" outlineLevel="0" collapsed="false">
      <c r="A59" s="139"/>
      <c r="B59" s="139"/>
      <c r="C59" s="139"/>
      <c r="D59" s="175" t="s">
        <v>683</v>
      </c>
      <c r="E59" s="176"/>
      <c r="F59" s="176"/>
      <c r="G59" s="178" t="n">
        <v>1.402</v>
      </c>
      <c r="H59" s="143"/>
    </row>
    <row r="60" customFormat="false" ht="15" hidden="false" customHeight="true" outlineLevel="0" collapsed="false">
      <c r="A60" s="134" t="s">
        <v>235</v>
      </c>
      <c r="B60" s="134" t="s">
        <v>107</v>
      </c>
      <c r="C60" s="134" t="s">
        <v>303</v>
      </c>
      <c r="D60" s="135" t="s">
        <v>304</v>
      </c>
      <c r="E60" s="135"/>
      <c r="F60" s="134" t="s">
        <v>154</v>
      </c>
      <c r="G60" s="137" t="n">
        <v>45.7</v>
      </c>
      <c r="H60" s="137" t="n">
        <v>0</v>
      </c>
    </row>
    <row r="61" customFormat="false" ht="15" hidden="false" customHeight="false" outlineLevel="0" collapsed="false">
      <c r="A61" s="174"/>
      <c r="B61" s="174"/>
      <c r="C61" s="174"/>
      <c r="D61" s="175" t="s">
        <v>684</v>
      </c>
      <c r="E61" s="176"/>
      <c r="F61" s="176"/>
      <c r="G61" s="177" t="n">
        <v>45.7</v>
      </c>
      <c r="H61" s="174"/>
    </row>
    <row r="62" customFormat="false" ht="15" hidden="false" customHeight="true" outlineLevel="0" collapsed="false">
      <c r="A62" s="134" t="s">
        <v>241</v>
      </c>
      <c r="B62" s="134" t="s">
        <v>107</v>
      </c>
      <c r="C62" s="134" t="s">
        <v>306</v>
      </c>
      <c r="D62" s="135" t="s">
        <v>307</v>
      </c>
      <c r="E62" s="135"/>
      <c r="F62" s="134" t="s">
        <v>202</v>
      </c>
      <c r="G62" s="137" t="n">
        <v>1</v>
      </c>
      <c r="H62" s="137" t="n">
        <v>0</v>
      </c>
    </row>
    <row r="63" customFormat="false" ht="15" hidden="false" customHeight="false" outlineLevel="0" collapsed="false">
      <c r="A63" s="174"/>
      <c r="B63" s="174"/>
      <c r="C63" s="174"/>
      <c r="D63" s="175" t="s">
        <v>151</v>
      </c>
      <c r="E63" s="176"/>
      <c r="F63" s="176"/>
      <c r="G63" s="177" t="n">
        <v>1</v>
      </c>
      <c r="H63" s="174"/>
    </row>
    <row r="64" customFormat="false" ht="15" hidden="false" customHeight="true" outlineLevel="0" collapsed="false">
      <c r="A64" s="139" t="s">
        <v>244</v>
      </c>
      <c r="B64" s="139" t="s">
        <v>107</v>
      </c>
      <c r="C64" s="139" t="s">
        <v>309</v>
      </c>
      <c r="D64" s="140" t="s">
        <v>310</v>
      </c>
      <c r="E64" s="140"/>
      <c r="F64" s="139" t="s">
        <v>202</v>
      </c>
      <c r="G64" s="142" t="n">
        <v>1</v>
      </c>
      <c r="H64" s="142" t="n">
        <v>0</v>
      </c>
    </row>
    <row r="65" customFormat="false" ht="15" hidden="false" customHeight="false" outlineLevel="0" collapsed="false">
      <c r="A65" s="174"/>
      <c r="B65" s="174"/>
      <c r="C65" s="174"/>
      <c r="D65" s="175" t="s">
        <v>151</v>
      </c>
      <c r="E65" s="176"/>
      <c r="F65" s="176"/>
      <c r="G65" s="178" t="n">
        <v>1</v>
      </c>
      <c r="H65" s="174"/>
    </row>
    <row r="66" customFormat="false" ht="15" hidden="false" customHeight="true" outlineLevel="0" collapsed="false">
      <c r="A66" s="134" t="s">
        <v>247</v>
      </c>
      <c r="B66" s="134" t="s">
        <v>107</v>
      </c>
      <c r="C66" s="134" t="s">
        <v>312</v>
      </c>
      <c r="D66" s="135" t="s">
        <v>313</v>
      </c>
      <c r="E66" s="135"/>
      <c r="F66" s="134" t="s">
        <v>154</v>
      </c>
      <c r="G66" s="137" t="n">
        <v>3.5</v>
      </c>
      <c r="H66" s="137" t="n">
        <v>0</v>
      </c>
    </row>
    <row r="67" customFormat="false" ht="15" hidden="false" customHeight="false" outlineLevel="0" collapsed="false">
      <c r="A67" s="174"/>
      <c r="B67" s="174"/>
      <c r="C67" s="174"/>
      <c r="D67" s="175" t="s">
        <v>685</v>
      </c>
      <c r="E67" s="176"/>
      <c r="F67" s="176"/>
      <c r="G67" s="177" t="n">
        <v>3.5</v>
      </c>
      <c r="H67" s="174"/>
    </row>
    <row r="68" customFormat="false" ht="24.05" hidden="false" customHeight="true" outlineLevel="0" collapsed="false">
      <c r="A68" s="134" t="s">
        <v>250</v>
      </c>
      <c r="B68" s="134" t="s">
        <v>107</v>
      </c>
      <c r="C68" s="134" t="s">
        <v>315</v>
      </c>
      <c r="D68" s="135" t="s">
        <v>316</v>
      </c>
      <c r="E68" s="135"/>
      <c r="F68" s="134" t="s">
        <v>189</v>
      </c>
      <c r="G68" s="137" t="n">
        <v>4.26</v>
      </c>
      <c r="H68" s="137" t="n">
        <v>0</v>
      </c>
    </row>
    <row r="69" customFormat="false" ht="15" hidden="false" customHeight="false" outlineLevel="0" collapsed="false">
      <c r="A69" s="174"/>
      <c r="B69" s="174"/>
      <c r="C69" s="174"/>
      <c r="D69" s="175" t="s">
        <v>686</v>
      </c>
      <c r="E69" s="176"/>
      <c r="F69" s="176"/>
      <c r="G69" s="177" t="n">
        <v>4.26</v>
      </c>
      <c r="H69" s="174"/>
    </row>
    <row r="70" customFormat="false" ht="15" hidden="false" customHeight="true" outlineLevel="0" collapsed="false">
      <c r="A70" s="134" t="s">
        <v>253</v>
      </c>
      <c r="B70" s="134" t="s">
        <v>107</v>
      </c>
      <c r="C70" s="134" t="s">
        <v>318</v>
      </c>
      <c r="D70" s="135" t="s">
        <v>319</v>
      </c>
      <c r="E70" s="135"/>
      <c r="F70" s="134" t="s">
        <v>179</v>
      </c>
      <c r="G70" s="137" t="n">
        <v>35.207</v>
      </c>
      <c r="H70" s="137" t="n">
        <v>0</v>
      </c>
    </row>
    <row r="71" customFormat="false" ht="15" hidden="false" customHeight="false" outlineLevel="0" collapsed="false">
      <c r="A71" s="174"/>
      <c r="B71" s="174"/>
      <c r="C71" s="174"/>
      <c r="D71" s="175" t="s">
        <v>687</v>
      </c>
      <c r="E71" s="176"/>
      <c r="F71" s="176"/>
      <c r="G71" s="177" t="n">
        <v>35.207</v>
      </c>
      <c r="H71" s="174"/>
    </row>
    <row r="72" customFormat="false" ht="15" hidden="false" customHeight="true" outlineLevel="0" collapsed="false">
      <c r="A72" s="134" t="s">
        <v>256</v>
      </c>
      <c r="B72" s="134" t="s">
        <v>107</v>
      </c>
      <c r="C72" s="134" t="s">
        <v>323</v>
      </c>
      <c r="D72" s="135" t="s">
        <v>324</v>
      </c>
      <c r="E72" s="135"/>
      <c r="F72" s="134" t="s">
        <v>325</v>
      </c>
      <c r="G72" s="137" t="n">
        <v>433.512</v>
      </c>
      <c r="H72" s="137" t="n">
        <v>0</v>
      </c>
    </row>
    <row r="73" customFormat="false" ht="15" hidden="false" customHeight="false" outlineLevel="0" collapsed="false">
      <c r="A73" s="174"/>
      <c r="B73" s="174"/>
      <c r="C73" s="174"/>
      <c r="D73" s="175" t="s">
        <v>688</v>
      </c>
      <c r="E73" s="176"/>
      <c r="F73" s="176"/>
      <c r="G73" s="177" t="n">
        <v>28.512</v>
      </c>
      <c r="H73" s="174"/>
    </row>
    <row r="74" customFormat="false" ht="15" hidden="false" customHeight="false" outlineLevel="0" collapsed="false">
      <c r="A74" s="134"/>
      <c r="B74" s="134"/>
      <c r="C74" s="134"/>
      <c r="D74" s="175" t="s">
        <v>689</v>
      </c>
      <c r="E74" s="176"/>
      <c r="F74" s="176"/>
      <c r="G74" s="177" t="n">
        <v>405</v>
      </c>
      <c r="H74" s="138"/>
    </row>
    <row r="75" customFormat="false" ht="15" hidden="false" customHeight="true" outlineLevel="0" collapsed="false">
      <c r="A75" s="139" t="s">
        <v>259</v>
      </c>
      <c r="B75" s="139" t="s">
        <v>107</v>
      </c>
      <c r="C75" s="139" t="s">
        <v>329</v>
      </c>
      <c r="D75" s="140" t="s">
        <v>330</v>
      </c>
      <c r="E75" s="140"/>
      <c r="F75" s="139" t="s">
        <v>325</v>
      </c>
      <c r="G75" s="142" t="n">
        <v>31.363</v>
      </c>
      <c r="H75" s="142" t="n">
        <v>0</v>
      </c>
    </row>
    <row r="76" customFormat="false" ht="15" hidden="false" customHeight="false" outlineLevel="0" collapsed="false">
      <c r="A76" s="174"/>
      <c r="B76" s="174"/>
      <c r="C76" s="174"/>
      <c r="D76" s="175" t="s">
        <v>690</v>
      </c>
      <c r="E76" s="176" t="s">
        <v>691</v>
      </c>
      <c r="F76" s="176"/>
      <c r="G76" s="178" t="n">
        <v>13.035</v>
      </c>
      <c r="H76" s="174"/>
    </row>
    <row r="77" customFormat="false" ht="15" hidden="false" customHeight="false" outlineLevel="0" collapsed="false">
      <c r="A77" s="139"/>
      <c r="B77" s="139"/>
      <c r="C77" s="139"/>
      <c r="D77" s="175" t="s">
        <v>692</v>
      </c>
      <c r="E77" s="176" t="s">
        <v>693</v>
      </c>
      <c r="F77" s="176"/>
      <c r="G77" s="178" t="n">
        <v>5.914</v>
      </c>
      <c r="H77" s="143"/>
    </row>
    <row r="78" customFormat="false" ht="15" hidden="false" customHeight="false" outlineLevel="0" collapsed="false">
      <c r="A78" s="139"/>
      <c r="B78" s="139"/>
      <c r="C78" s="139"/>
      <c r="D78" s="175" t="s">
        <v>694</v>
      </c>
      <c r="E78" s="176" t="s">
        <v>695</v>
      </c>
      <c r="F78" s="176"/>
      <c r="G78" s="178" t="n">
        <v>9.563</v>
      </c>
      <c r="H78" s="143"/>
    </row>
    <row r="79" customFormat="false" ht="15" hidden="false" customHeight="false" outlineLevel="0" collapsed="false">
      <c r="A79" s="139"/>
      <c r="B79" s="139"/>
      <c r="C79" s="139"/>
      <c r="D79" s="175" t="s">
        <v>696</v>
      </c>
      <c r="E79" s="176"/>
      <c r="F79" s="176"/>
      <c r="G79" s="178" t="n">
        <v>2.851</v>
      </c>
      <c r="H79" s="143"/>
    </row>
    <row r="80" customFormat="false" ht="15" hidden="false" customHeight="true" outlineLevel="0" collapsed="false">
      <c r="A80" s="139" t="s">
        <v>262</v>
      </c>
      <c r="B80" s="139" t="s">
        <v>107</v>
      </c>
      <c r="C80" s="139" t="s">
        <v>329</v>
      </c>
      <c r="D80" s="140" t="s">
        <v>332</v>
      </c>
      <c r="E80" s="140"/>
      <c r="F80" s="139" t="s">
        <v>325</v>
      </c>
      <c r="G80" s="142" t="n">
        <v>445.5</v>
      </c>
      <c r="H80" s="142" t="n">
        <v>0</v>
      </c>
    </row>
    <row r="81" customFormat="false" ht="15" hidden="false" customHeight="false" outlineLevel="0" collapsed="false">
      <c r="A81" s="174"/>
      <c r="B81" s="174"/>
      <c r="C81" s="174"/>
      <c r="D81" s="175" t="s">
        <v>697</v>
      </c>
      <c r="E81" s="176" t="s">
        <v>691</v>
      </c>
      <c r="F81" s="176"/>
      <c r="G81" s="178" t="n">
        <v>185.16</v>
      </c>
      <c r="H81" s="174"/>
    </row>
    <row r="82" customFormat="false" ht="15" hidden="false" customHeight="false" outlineLevel="0" collapsed="false">
      <c r="A82" s="139"/>
      <c r="B82" s="139"/>
      <c r="C82" s="139"/>
      <c r="D82" s="175" t="s">
        <v>698</v>
      </c>
      <c r="E82" s="176" t="s">
        <v>693</v>
      </c>
      <c r="F82" s="176"/>
      <c r="G82" s="178" t="n">
        <v>84</v>
      </c>
      <c r="H82" s="143"/>
    </row>
    <row r="83" customFormat="false" ht="15" hidden="false" customHeight="false" outlineLevel="0" collapsed="false">
      <c r="A83" s="139"/>
      <c r="B83" s="139"/>
      <c r="C83" s="139"/>
      <c r="D83" s="175" t="s">
        <v>699</v>
      </c>
      <c r="E83" s="176" t="s">
        <v>695</v>
      </c>
      <c r="F83" s="176"/>
      <c r="G83" s="178" t="n">
        <v>135.84</v>
      </c>
      <c r="H83" s="143"/>
    </row>
    <row r="84" customFormat="false" ht="15" hidden="false" customHeight="false" outlineLevel="0" collapsed="false">
      <c r="A84" s="139"/>
      <c r="B84" s="139"/>
      <c r="C84" s="139"/>
      <c r="D84" s="175" t="s">
        <v>700</v>
      </c>
      <c r="E84" s="176"/>
      <c r="F84" s="176"/>
      <c r="G84" s="178" t="n">
        <v>40.5</v>
      </c>
      <c r="H84" s="143"/>
    </row>
    <row r="85" customFormat="false" ht="15" hidden="false" customHeight="true" outlineLevel="0" collapsed="false">
      <c r="A85" s="134" t="s">
        <v>265</v>
      </c>
      <c r="B85" s="134" t="s">
        <v>107</v>
      </c>
      <c r="C85" s="134" t="s">
        <v>334</v>
      </c>
      <c r="D85" s="135" t="s">
        <v>335</v>
      </c>
      <c r="E85" s="135"/>
      <c r="F85" s="134" t="s">
        <v>179</v>
      </c>
      <c r="G85" s="137" t="n">
        <v>0.498</v>
      </c>
      <c r="H85" s="137" t="n">
        <v>0</v>
      </c>
    </row>
    <row r="86" customFormat="false" ht="15" hidden="false" customHeight="false" outlineLevel="0" collapsed="false">
      <c r="A86" s="174"/>
      <c r="B86" s="174"/>
      <c r="C86" s="174"/>
      <c r="D86" s="175" t="s">
        <v>701</v>
      </c>
      <c r="E86" s="176"/>
      <c r="F86" s="176"/>
      <c r="G86" s="177" t="n">
        <v>0.498</v>
      </c>
      <c r="H86" s="174"/>
    </row>
    <row r="87" customFormat="false" ht="15" hidden="false" customHeight="true" outlineLevel="0" collapsed="false">
      <c r="A87" s="134" t="s">
        <v>268</v>
      </c>
      <c r="B87" s="134" t="s">
        <v>107</v>
      </c>
      <c r="C87" s="134" t="s">
        <v>339</v>
      </c>
      <c r="D87" s="135" t="s">
        <v>340</v>
      </c>
      <c r="E87" s="135"/>
      <c r="F87" s="134" t="s">
        <v>163</v>
      </c>
      <c r="G87" s="137" t="n">
        <v>8</v>
      </c>
      <c r="H87" s="137" t="n">
        <v>0</v>
      </c>
    </row>
    <row r="88" customFormat="false" ht="15" hidden="false" customHeight="false" outlineLevel="0" collapsed="false">
      <c r="A88" s="174"/>
      <c r="B88" s="174"/>
      <c r="C88" s="174"/>
      <c r="D88" s="175" t="s">
        <v>181</v>
      </c>
      <c r="E88" s="176"/>
      <c r="F88" s="176"/>
      <c r="G88" s="177" t="n">
        <v>8</v>
      </c>
      <c r="H88" s="174"/>
    </row>
    <row r="89" customFormat="false" ht="15" hidden="false" customHeight="true" outlineLevel="0" collapsed="false">
      <c r="A89" s="134" t="s">
        <v>270</v>
      </c>
      <c r="B89" s="134" t="s">
        <v>107</v>
      </c>
      <c r="C89" s="134" t="s">
        <v>344</v>
      </c>
      <c r="D89" s="135" t="s">
        <v>345</v>
      </c>
      <c r="E89" s="135"/>
      <c r="F89" s="134" t="s">
        <v>163</v>
      </c>
      <c r="G89" s="137" t="n">
        <v>8</v>
      </c>
      <c r="H89" s="137" t="n">
        <v>0</v>
      </c>
    </row>
    <row r="90" customFormat="false" ht="15" hidden="false" customHeight="false" outlineLevel="0" collapsed="false">
      <c r="A90" s="174"/>
      <c r="B90" s="174"/>
      <c r="C90" s="174"/>
      <c r="D90" s="175" t="s">
        <v>181</v>
      </c>
      <c r="E90" s="176"/>
      <c r="F90" s="176"/>
      <c r="G90" s="177" t="n">
        <v>8</v>
      </c>
      <c r="H90" s="174"/>
    </row>
    <row r="91" customFormat="false" ht="15" hidden="false" customHeight="true" outlineLevel="0" collapsed="false">
      <c r="A91" s="134" t="s">
        <v>271</v>
      </c>
      <c r="B91" s="134" t="s">
        <v>107</v>
      </c>
      <c r="C91" s="134" t="s">
        <v>349</v>
      </c>
      <c r="D91" s="135" t="s">
        <v>350</v>
      </c>
      <c r="E91" s="135"/>
      <c r="F91" s="134" t="s">
        <v>169</v>
      </c>
      <c r="G91" s="137" t="n">
        <v>6.853</v>
      </c>
      <c r="H91" s="137" t="n">
        <v>0</v>
      </c>
    </row>
    <row r="92" customFormat="false" ht="15" hidden="false" customHeight="false" outlineLevel="0" collapsed="false">
      <c r="A92" s="174"/>
      <c r="B92" s="174"/>
      <c r="C92" s="174"/>
      <c r="D92" s="175" t="s">
        <v>702</v>
      </c>
      <c r="E92" s="176"/>
      <c r="F92" s="176"/>
      <c r="G92" s="177" t="n">
        <v>6.853</v>
      </c>
      <c r="H92" s="174"/>
    </row>
    <row r="93" customFormat="false" ht="15" hidden="false" customHeight="true" outlineLevel="0" collapsed="false">
      <c r="A93" s="134" t="s">
        <v>276</v>
      </c>
      <c r="B93" s="134" t="s">
        <v>107</v>
      </c>
      <c r="C93" s="134" t="s">
        <v>353</v>
      </c>
      <c r="D93" s="135" t="s">
        <v>354</v>
      </c>
      <c r="E93" s="135"/>
      <c r="F93" s="134" t="s">
        <v>169</v>
      </c>
      <c r="G93" s="137" t="n">
        <v>5.46</v>
      </c>
      <c r="H93" s="137" t="n">
        <v>0</v>
      </c>
    </row>
    <row r="94" customFormat="false" ht="15" hidden="false" customHeight="false" outlineLevel="0" collapsed="false">
      <c r="A94" s="174"/>
      <c r="B94" s="174"/>
      <c r="C94" s="174"/>
      <c r="D94" s="175" t="s">
        <v>703</v>
      </c>
      <c r="E94" s="176"/>
      <c r="F94" s="176"/>
      <c r="G94" s="177" t="n">
        <v>5.46</v>
      </c>
      <c r="H94" s="174"/>
    </row>
    <row r="95" customFormat="false" ht="15" hidden="false" customHeight="true" outlineLevel="0" collapsed="false">
      <c r="A95" s="139" t="s">
        <v>281</v>
      </c>
      <c r="B95" s="139" t="s">
        <v>107</v>
      </c>
      <c r="C95" s="139" t="s">
        <v>356</v>
      </c>
      <c r="D95" s="140" t="s">
        <v>357</v>
      </c>
      <c r="E95" s="140"/>
      <c r="F95" s="139" t="s">
        <v>179</v>
      </c>
      <c r="G95" s="142" t="n">
        <v>0.481</v>
      </c>
      <c r="H95" s="142" t="n">
        <v>0</v>
      </c>
    </row>
    <row r="96" customFormat="false" ht="15" hidden="false" customHeight="false" outlineLevel="0" collapsed="false">
      <c r="A96" s="174"/>
      <c r="B96" s="174"/>
      <c r="C96" s="174"/>
      <c r="D96" s="175" t="s">
        <v>704</v>
      </c>
      <c r="E96" s="176"/>
      <c r="F96" s="176"/>
      <c r="G96" s="178" t="n">
        <v>0.437</v>
      </c>
      <c r="H96" s="174"/>
    </row>
    <row r="97" customFormat="false" ht="15" hidden="false" customHeight="false" outlineLevel="0" collapsed="false">
      <c r="A97" s="139"/>
      <c r="B97" s="139"/>
      <c r="C97" s="139"/>
      <c r="D97" s="175" t="s">
        <v>705</v>
      </c>
      <c r="E97" s="176"/>
      <c r="F97" s="176"/>
      <c r="G97" s="178" t="n">
        <v>0.044</v>
      </c>
      <c r="H97" s="143"/>
    </row>
    <row r="98" customFormat="false" ht="15" hidden="false" customHeight="true" outlineLevel="0" collapsed="false">
      <c r="A98" s="134" t="s">
        <v>284</v>
      </c>
      <c r="B98" s="134" t="s">
        <v>107</v>
      </c>
      <c r="C98" s="134" t="s">
        <v>359</v>
      </c>
      <c r="D98" s="135" t="s">
        <v>360</v>
      </c>
      <c r="E98" s="135"/>
      <c r="F98" s="134" t="s">
        <v>154</v>
      </c>
      <c r="G98" s="137" t="n">
        <v>13</v>
      </c>
      <c r="H98" s="137" t="n">
        <v>0</v>
      </c>
    </row>
    <row r="99" customFormat="false" ht="15" hidden="false" customHeight="false" outlineLevel="0" collapsed="false">
      <c r="A99" s="174"/>
      <c r="B99" s="174"/>
      <c r="C99" s="174"/>
      <c r="D99" s="175" t="s">
        <v>206</v>
      </c>
      <c r="E99" s="176"/>
      <c r="F99" s="176"/>
      <c r="G99" s="177" t="n">
        <v>13</v>
      </c>
      <c r="H99" s="174"/>
    </row>
    <row r="100" customFormat="false" ht="15" hidden="false" customHeight="true" outlineLevel="0" collapsed="false">
      <c r="A100" s="139" t="s">
        <v>287</v>
      </c>
      <c r="B100" s="139" t="s">
        <v>107</v>
      </c>
      <c r="C100" s="139" t="s">
        <v>361</v>
      </c>
      <c r="D100" s="140" t="s">
        <v>362</v>
      </c>
      <c r="E100" s="140"/>
      <c r="F100" s="139" t="s">
        <v>202</v>
      </c>
      <c r="G100" s="142" t="n">
        <v>13.13</v>
      </c>
      <c r="H100" s="142" t="n">
        <v>0</v>
      </c>
    </row>
    <row r="101" customFormat="false" ht="15" hidden="false" customHeight="false" outlineLevel="0" collapsed="false">
      <c r="A101" s="174"/>
      <c r="B101" s="174"/>
      <c r="C101" s="174"/>
      <c r="D101" s="175" t="s">
        <v>206</v>
      </c>
      <c r="E101" s="176"/>
      <c r="F101" s="176"/>
      <c r="G101" s="178" t="n">
        <v>13</v>
      </c>
      <c r="H101" s="174"/>
    </row>
    <row r="102" customFormat="false" ht="15" hidden="false" customHeight="false" outlineLevel="0" collapsed="false">
      <c r="A102" s="139"/>
      <c r="B102" s="139"/>
      <c r="C102" s="139"/>
      <c r="D102" s="175" t="s">
        <v>706</v>
      </c>
      <c r="E102" s="176"/>
      <c r="F102" s="176"/>
      <c r="G102" s="178" t="n">
        <v>0.13</v>
      </c>
      <c r="H102" s="143"/>
    </row>
    <row r="103" customFormat="false" ht="15" hidden="false" customHeight="true" outlineLevel="0" collapsed="false">
      <c r="A103" s="134" t="s">
        <v>290</v>
      </c>
      <c r="B103" s="134" t="s">
        <v>107</v>
      </c>
      <c r="C103" s="134" t="s">
        <v>318</v>
      </c>
      <c r="D103" s="135" t="s">
        <v>319</v>
      </c>
      <c r="E103" s="135"/>
      <c r="F103" s="134" t="s">
        <v>179</v>
      </c>
      <c r="G103" s="137" t="n">
        <v>3.587</v>
      </c>
      <c r="H103" s="137" t="n">
        <v>0</v>
      </c>
    </row>
    <row r="104" customFormat="false" ht="15" hidden="false" customHeight="false" outlineLevel="0" collapsed="false">
      <c r="A104" s="174"/>
      <c r="B104" s="174"/>
      <c r="C104" s="174"/>
      <c r="D104" s="175" t="s">
        <v>707</v>
      </c>
      <c r="E104" s="176"/>
      <c r="F104" s="176"/>
      <c r="G104" s="177" t="n">
        <v>3.587</v>
      </c>
      <c r="H104" s="174"/>
    </row>
    <row r="106" customFormat="false" ht="15" hidden="false" customHeight="false" outlineLevel="0" collapsed="false">
      <c r="A106" s="1"/>
    </row>
    <row r="107" customFormat="false" ht="15" hidden="true" customHeight="false" outlineLevel="0" collapsed="false">
      <c r="A107" s="9"/>
      <c r="B107" s="9"/>
      <c r="C107" s="9"/>
      <c r="D107" s="9"/>
      <c r="E107" s="9"/>
      <c r="F107" s="9"/>
      <c r="G107" s="9"/>
    </row>
  </sheetData>
  <mergeCells count="113">
    <mergeCell ref="A1:H1"/>
    <mergeCell ref="A2:B3"/>
    <mergeCell ref="C2:D3"/>
    <mergeCell ref="E2:E3"/>
    <mergeCell ref="F2:H3"/>
    <mergeCell ref="A4:B5"/>
    <mergeCell ref="C4:D5"/>
    <mergeCell ref="E4:E5"/>
    <mergeCell ref="F4:H5"/>
    <mergeCell ref="A6:B7"/>
    <mergeCell ref="C6:D7"/>
    <mergeCell ref="E6:E7"/>
    <mergeCell ref="F6:H7"/>
    <mergeCell ref="A8:B9"/>
    <mergeCell ref="C8:D9"/>
    <mergeCell ref="E8:E9"/>
    <mergeCell ref="F8:H9"/>
    <mergeCell ref="D10:E10"/>
    <mergeCell ref="D11:E11"/>
    <mergeCell ref="D12:E12"/>
    <mergeCell ref="D13:E13"/>
    <mergeCell ref="D14:E14"/>
    <mergeCell ref="D15:E15"/>
    <mergeCell ref="D16:E16"/>
    <mergeCell ref="E17:F17"/>
    <mergeCell ref="D18:E18"/>
    <mergeCell ref="E19:F19"/>
    <mergeCell ref="D20:E20"/>
    <mergeCell ref="E21:F21"/>
    <mergeCell ref="D22:E22"/>
    <mergeCell ref="E23:F23"/>
    <mergeCell ref="D24:E24"/>
    <mergeCell ref="E25:F25"/>
    <mergeCell ref="D26:E26"/>
    <mergeCell ref="E27:F27"/>
    <mergeCell ref="D28:E28"/>
    <mergeCell ref="E29:F29"/>
    <mergeCell ref="D30:E30"/>
    <mergeCell ref="E31:F31"/>
    <mergeCell ref="D32:E32"/>
    <mergeCell ref="E33:F33"/>
    <mergeCell ref="D34:E34"/>
    <mergeCell ref="E35:F35"/>
    <mergeCell ref="D36:E36"/>
    <mergeCell ref="E37:F37"/>
    <mergeCell ref="D38:E38"/>
    <mergeCell ref="E39:F39"/>
    <mergeCell ref="D40:E40"/>
    <mergeCell ref="E41:F41"/>
    <mergeCell ref="D42:E42"/>
    <mergeCell ref="E43:F43"/>
    <mergeCell ref="D44:E44"/>
    <mergeCell ref="E45:F45"/>
    <mergeCell ref="D46:E46"/>
    <mergeCell ref="E47:F47"/>
    <mergeCell ref="E48:F48"/>
    <mergeCell ref="D49:E49"/>
    <mergeCell ref="E50:F50"/>
    <mergeCell ref="D51:E51"/>
    <mergeCell ref="E52:F52"/>
    <mergeCell ref="D53:E53"/>
    <mergeCell ref="E54:F54"/>
    <mergeCell ref="D55:E55"/>
    <mergeCell ref="E56:F56"/>
    <mergeCell ref="D57:E57"/>
    <mergeCell ref="E58:F58"/>
    <mergeCell ref="E59:F59"/>
    <mergeCell ref="D60:E60"/>
    <mergeCell ref="E61:F61"/>
    <mergeCell ref="D62:E62"/>
    <mergeCell ref="E63:F63"/>
    <mergeCell ref="D64:E64"/>
    <mergeCell ref="E65:F65"/>
    <mergeCell ref="D66:E66"/>
    <mergeCell ref="E67:F67"/>
    <mergeCell ref="D68:E68"/>
    <mergeCell ref="E69:F69"/>
    <mergeCell ref="D70:E70"/>
    <mergeCell ref="E71:F71"/>
    <mergeCell ref="D72:E72"/>
    <mergeCell ref="E73:F73"/>
    <mergeCell ref="E74:F74"/>
    <mergeCell ref="D75:E75"/>
    <mergeCell ref="E76:F76"/>
    <mergeCell ref="E77:F77"/>
    <mergeCell ref="E78:F78"/>
    <mergeCell ref="E79:F79"/>
    <mergeCell ref="D80:E80"/>
    <mergeCell ref="E81:F81"/>
    <mergeCell ref="E82:F82"/>
    <mergeCell ref="E83:F83"/>
    <mergeCell ref="E84:F84"/>
    <mergeCell ref="D85:E85"/>
    <mergeCell ref="E86:F86"/>
    <mergeCell ref="D87:E87"/>
    <mergeCell ref="E88:F88"/>
    <mergeCell ref="D89:E89"/>
    <mergeCell ref="E90:F90"/>
    <mergeCell ref="D91:E91"/>
    <mergeCell ref="E92:F92"/>
    <mergeCell ref="D93:E93"/>
    <mergeCell ref="E94:F94"/>
    <mergeCell ref="D95:E95"/>
    <mergeCell ref="E96:F96"/>
    <mergeCell ref="E97:F97"/>
    <mergeCell ref="D98:E98"/>
    <mergeCell ref="E99:F99"/>
    <mergeCell ref="D100:E100"/>
    <mergeCell ref="E101:F101"/>
    <mergeCell ref="E102:F102"/>
    <mergeCell ref="D103:E103"/>
    <mergeCell ref="E104:F104"/>
    <mergeCell ref="A107:G107"/>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558B2F"/>
    <pageSetUpPr fitToPage="true"/>
  </sheetPr>
  <dimension ref="A1:I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1484375" defaultRowHeight="15" customHeight="true" zeroHeight="false" outlineLevelRow="0" outlineLevelCol="0"/>
  <cols>
    <col collapsed="false" customWidth="true" hidden="false" outlineLevel="0" max="1" min="1" style="22" width="17.88"/>
    <col collapsed="false" customWidth="true" hidden="false" outlineLevel="0" max="2" min="2" style="22" width="12.86"/>
    <col collapsed="false" customWidth="true" hidden="false" outlineLevel="0" max="3" min="3" style="22" width="27.15"/>
    <col collapsed="false" customWidth="true" hidden="false" outlineLevel="0" max="4" min="4" style="22" width="19.08"/>
    <col collapsed="false" customWidth="true" hidden="false" outlineLevel="0" max="5" min="5" style="22" width="14"/>
    <col collapsed="false" customWidth="true" hidden="false" outlineLevel="0" max="6" min="6" style="22" width="27.15"/>
    <col collapsed="false" customWidth="true" hidden="false" outlineLevel="0" max="7" min="7" style="22" width="18.65"/>
    <col collapsed="false" customWidth="true" hidden="false" outlineLevel="0" max="8" min="8" style="22" width="12.86"/>
    <col collapsed="false" customWidth="true" hidden="false" outlineLevel="0" max="9" min="9" style="22" width="27.15"/>
  </cols>
  <sheetData>
    <row r="1" customFormat="false" ht="39.7" hidden="false" customHeight="true" outlineLevel="0" collapsed="false">
      <c r="A1" s="24" t="s">
        <v>785</v>
      </c>
      <c r="B1" s="24"/>
      <c r="C1" s="24"/>
      <c r="D1" s="24"/>
      <c r="E1" s="24"/>
      <c r="F1" s="24"/>
      <c r="G1" s="24"/>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65</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2" customFormat="false" ht="22.05" hidden="false" customHeight="false" outlineLevel="0" collapsed="false">
      <c r="A12" s="25" t="s">
        <v>32</v>
      </c>
      <c r="B12" s="25"/>
      <c r="C12" s="25"/>
      <c r="D12" s="25"/>
      <c r="E12" s="25"/>
      <c r="F12" s="25"/>
      <c r="G12" s="25"/>
      <c r="H12" s="25"/>
      <c r="I12" s="25"/>
    </row>
    <row r="13" customFormat="false" ht="26.25" hidden="false" customHeight="true" outlineLevel="0" collapsed="false">
      <c r="A13" s="26" t="s">
        <v>33</v>
      </c>
      <c r="B13" s="27" t="s">
        <v>34</v>
      </c>
      <c r="C13" s="27"/>
      <c r="D13" s="28" t="s">
        <v>35</v>
      </c>
      <c r="E13" s="27" t="s">
        <v>36</v>
      </c>
      <c r="F13" s="27"/>
      <c r="G13" s="28" t="s">
        <v>775</v>
      </c>
      <c r="H13" s="27" t="s">
        <v>82</v>
      </c>
      <c r="I13" s="27"/>
    </row>
    <row r="14" customFormat="false" ht="15" hidden="false" customHeight="false" outlineLevel="0" collapsed="false">
      <c r="A14" s="29" t="s">
        <v>37</v>
      </c>
      <c r="B14" s="30" t="s">
        <v>38</v>
      </c>
      <c r="C14" s="31" t="n">
        <f aca="false">SUM('Stavební rozpočet (SO01.12)'!AB12:AB374)</f>
        <v>0</v>
      </c>
      <c r="D14" s="30" t="s">
        <v>39</v>
      </c>
      <c r="E14" s="30"/>
      <c r="F14" s="31" t="n">
        <f aca="false">'VORN objektu (SO01.12)'!I15</f>
        <v>0</v>
      </c>
      <c r="G14" s="30" t="s">
        <v>83</v>
      </c>
      <c r="H14" s="30"/>
      <c r="I14" s="31" t="n">
        <f aca="false">'VORN objektu (SO01.12)'!I21</f>
        <v>0</v>
      </c>
    </row>
    <row r="15" customFormat="false" ht="15" hidden="false" customHeight="false" outlineLevel="0" collapsed="false">
      <c r="A15" s="32"/>
      <c r="B15" s="30" t="s">
        <v>40</v>
      </c>
      <c r="C15" s="31" t="n">
        <f aca="false">SUM('Stavební rozpočet (SO01.12)'!AC12:AC374)</f>
        <v>0</v>
      </c>
      <c r="D15" s="30" t="s">
        <v>41</v>
      </c>
      <c r="E15" s="30"/>
      <c r="F15" s="31" t="n">
        <f aca="false">'VORN objektu (SO01.12)'!I16</f>
        <v>0</v>
      </c>
      <c r="G15" s="30" t="s">
        <v>84</v>
      </c>
      <c r="H15" s="30"/>
      <c r="I15" s="31" t="n">
        <f aca="false">'VORN objektu (SO01.12)'!I22</f>
        <v>0</v>
      </c>
    </row>
    <row r="16" customFormat="false" ht="15" hidden="false" customHeight="false" outlineLevel="0" collapsed="false">
      <c r="A16" s="29" t="s">
        <v>42</v>
      </c>
      <c r="B16" s="30" t="s">
        <v>38</v>
      </c>
      <c r="C16" s="31" t="n">
        <f aca="false">SUM('Stavební rozpočet (SO01.12)'!AD12:AD374)</f>
        <v>0</v>
      </c>
      <c r="D16" s="30" t="s">
        <v>43</v>
      </c>
      <c r="E16" s="30"/>
      <c r="F16" s="31" t="n">
        <f aca="false">'VORN objektu (SO01.12)'!I17</f>
        <v>0</v>
      </c>
      <c r="G16" s="30" t="s">
        <v>85</v>
      </c>
      <c r="H16" s="30"/>
      <c r="I16" s="31" t="n">
        <f aca="false">'VORN objektu (SO01.12)'!I23</f>
        <v>0</v>
      </c>
    </row>
    <row r="17" customFormat="false" ht="15" hidden="false" customHeight="false" outlineLevel="0" collapsed="false">
      <c r="A17" s="32"/>
      <c r="B17" s="30" t="s">
        <v>40</v>
      </c>
      <c r="C17" s="31" t="n">
        <f aca="false">SUM('Stavební rozpočet (SO01.12)'!AE12:AE374)</f>
        <v>0</v>
      </c>
      <c r="D17" s="30"/>
      <c r="E17" s="30"/>
      <c r="F17" s="33"/>
      <c r="G17" s="30" t="s">
        <v>86</v>
      </c>
      <c r="H17" s="30"/>
      <c r="I17" s="31" t="n">
        <f aca="false">'VORN objektu (SO01.12)'!I24</f>
        <v>0</v>
      </c>
    </row>
    <row r="18" customFormat="false" ht="15" hidden="false" customHeight="false" outlineLevel="0" collapsed="false">
      <c r="A18" s="29" t="s">
        <v>44</v>
      </c>
      <c r="B18" s="30" t="s">
        <v>38</v>
      </c>
      <c r="C18" s="31" t="n">
        <f aca="false">SUM('Stavební rozpočet (SO01.12)'!AF12:AF374)</f>
        <v>0</v>
      </c>
      <c r="D18" s="30"/>
      <c r="E18" s="30"/>
      <c r="F18" s="33"/>
      <c r="G18" s="30" t="s">
        <v>87</v>
      </c>
      <c r="H18" s="30"/>
      <c r="I18" s="31" t="n">
        <f aca="false">'VORN objektu (SO01.12)'!I25</f>
        <v>0</v>
      </c>
    </row>
    <row r="19" customFormat="false" ht="15" hidden="false" customHeight="false" outlineLevel="0" collapsed="false">
      <c r="A19" s="32"/>
      <c r="B19" s="30" t="s">
        <v>40</v>
      </c>
      <c r="C19" s="31" t="n">
        <f aca="false">SUM('Stavební rozpočet (SO01.12)'!AG12:AG374)</f>
        <v>0</v>
      </c>
      <c r="D19" s="30"/>
      <c r="E19" s="30"/>
      <c r="F19" s="33"/>
      <c r="G19" s="30" t="s">
        <v>88</v>
      </c>
      <c r="H19" s="30"/>
      <c r="I19" s="31" t="n">
        <f aca="false">'VORN objektu (SO01.12)'!I26</f>
        <v>0</v>
      </c>
    </row>
    <row r="20" customFormat="false" ht="15" hidden="false" customHeight="false" outlineLevel="0" collapsed="false">
      <c r="A20" s="32" t="s">
        <v>45</v>
      </c>
      <c r="B20" s="32"/>
      <c r="C20" s="31" t="n">
        <f aca="false">SUM('Stavební rozpočet (SO01.12)'!AH12:AH374)</f>
        <v>0</v>
      </c>
      <c r="D20" s="30"/>
      <c r="E20" s="30"/>
      <c r="F20" s="33"/>
      <c r="G20" s="30"/>
      <c r="H20" s="30"/>
      <c r="I20" s="33"/>
    </row>
    <row r="21" customFormat="false" ht="15" hidden="false" customHeight="false" outlineLevel="0" collapsed="false">
      <c r="A21" s="29" t="s">
        <v>46</v>
      </c>
      <c r="B21" s="29"/>
      <c r="C21" s="34" t="n">
        <f aca="false">SUM('Stavební rozpočet (SO01.12)'!Z12:Z374)</f>
        <v>0</v>
      </c>
      <c r="D21" s="35"/>
      <c r="E21" s="35"/>
      <c r="F21" s="36"/>
      <c r="G21" s="35"/>
      <c r="H21" s="35"/>
      <c r="I21" s="36"/>
    </row>
    <row r="22" customFormat="false" ht="16.5" hidden="false" customHeight="true" outlineLevel="0" collapsed="false">
      <c r="A22" s="37" t="s">
        <v>47</v>
      </c>
      <c r="B22" s="37"/>
      <c r="C22" s="38" t="n">
        <f aca="false">ROUND(SUM(C14:C21),1)</f>
        <v>0</v>
      </c>
      <c r="D22" s="39" t="s">
        <v>48</v>
      </c>
      <c r="E22" s="39"/>
      <c r="F22" s="38" t="n">
        <f aca="false">SUM(F14:F21)</f>
        <v>0</v>
      </c>
      <c r="G22" s="39" t="s">
        <v>776</v>
      </c>
      <c r="H22" s="39"/>
      <c r="I22" s="38" t="n">
        <f aca="false">SUM(I14:I21)</f>
        <v>0</v>
      </c>
    </row>
    <row r="23" customFormat="false" ht="15" hidden="false" customHeight="false" outlineLevel="0" collapsed="false">
      <c r="G23" s="32" t="s">
        <v>777</v>
      </c>
      <c r="H23" s="32"/>
      <c r="I23" s="31" t="n">
        <f aca="false">'VORN objektu (SO01.12)'!I36</f>
        <v>0</v>
      </c>
    </row>
    <row r="25" customFormat="false" ht="15" hidden="false" customHeight="false" outlineLevel="0" collapsed="false">
      <c r="A25" s="41" t="s">
        <v>50</v>
      </c>
      <c r="B25" s="41"/>
      <c r="C25" s="42" t="n">
        <f aca="false">ROUND(SUM('Stavební rozpočet (SO01.12)'!AJ12:AJ374),1)</f>
        <v>0</v>
      </c>
      <c r="D25" s="43"/>
      <c r="E25" s="43"/>
      <c r="F25" s="43"/>
      <c r="G25" s="43"/>
      <c r="H25" s="43"/>
      <c r="I25" s="43"/>
    </row>
    <row r="26" customFormat="false" ht="15" hidden="false" customHeight="false" outlineLevel="0" collapsed="false">
      <c r="A26" s="44" t="s">
        <v>51</v>
      </c>
      <c r="B26" s="44"/>
      <c r="C26" s="45" t="n">
        <f aca="false">ROUND(SUM('Stavební rozpočet (SO01.12)'!AK12:AK374),1)</f>
        <v>0</v>
      </c>
      <c r="D26" s="46" t="s">
        <v>52</v>
      </c>
      <c r="E26" s="46"/>
      <c r="F26" s="42" t="n">
        <f aca="false">ROUND(C26*(12/100),2)</f>
        <v>0</v>
      </c>
      <c r="G26" s="46" t="s">
        <v>53</v>
      </c>
      <c r="H26" s="46"/>
      <c r="I26" s="42" t="n">
        <f aca="false">ROUND(SUM(C25:C27),1)</f>
        <v>0</v>
      </c>
    </row>
    <row r="27" customFormat="false" ht="15" hidden="false" customHeight="false" outlineLevel="0" collapsed="false">
      <c r="A27" s="44" t="s">
        <v>54</v>
      </c>
      <c r="B27" s="44"/>
      <c r="C27" s="45" t="n">
        <f aca="false">ROUND(SUM('Stavební rozpočet (SO01.12)'!AL12:AL374)+(F22+I22+F23+I23+I24),1)</f>
        <v>0</v>
      </c>
      <c r="D27" s="47" t="s">
        <v>55</v>
      </c>
      <c r="E27" s="47"/>
      <c r="F27" s="45" t="n">
        <f aca="false">ROUND(C27*(21/100),2)</f>
        <v>0</v>
      </c>
      <c r="G27" s="47" t="s">
        <v>56</v>
      </c>
      <c r="H27" s="47"/>
      <c r="I27" s="45" t="n">
        <f aca="false">ROUND(SUM(F26:F27)+I26,1)</f>
        <v>0</v>
      </c>
    </row>
    <row r="29" customFormat="false" ht="15" hidden="false" customHeight="false" outlineLevel="0" collapsed="false">
      <c r="A29" s="48" t="s">
        <v>57</v>
      </c>
      <c r="B29" s="48"/>
      <c r="C29" s="48"/>
      <c r="D29" s="49" t="s">
        <v>58</v>
      </c>
      <c r="E29" s="49"/>
      <c r="F29" s="49"/>
      <c r="G29" s="49" t="s">
        <v>59</v>
      </c>
      <c r="H29" s="49"/>
      <c r="I29" s="49"/>
    </row>
    <row r="30" customFormat="false" ht="15" hidden="false" customHeight="false" outlineLevel="0" collapsed="false">
      <c r="A30" s="50"/>
      <c r="B30" s="50"/>
      <c r="C30" s="50"/>
      <c r="D30" s="51"/>
      <c r="E30" s="51"/>
      <c r="F30" s="51"/>
      <c r="G30" s="51"/>
      <c r="H30" s="51"/>
      <c r="I30" s="51"/>
    </row>
    <row r="31" customFormat="false" ht="15" hidden="false" customHeight="false" outlineLevel="0" collapsed="false">
      <c r="A31" s="50"/>
      <c r="B31" s="50"/>
      <c r="C31" s="50"/>
      <c r="D31" s="51"/>
      <c r="E31" s="51"/>
      <c r="F31" s="51"/>
      <c r="G31" s="51"/>
      <c r="H31" s="51"/>
      <c r="I31" s="51"/>
    </row>
    <row r="32" customFormat="false" ht="15" hidden="false" customHeight="false" outlineLevel="0" collapsed="false">
      <c r="A32" s="50"/>
      <c r="B32" s="50"/>
      <c r="C32" s="50"/>
      <c r="D32" s="51"/>
      <c r="E32" s="51"/>
      <c r="F32" s="51"/>
      <c r="G32" s="51"/>
      <c r="H32" s="51"/>
      <c r="I32" s="51"/>
    </row>
    <row r="33" customFormat="false" ht="15" hidden="false" customHeight="false" outlineLevel="0" collapsed="false">
      <c r="A33" s="52" t="s">
        <v>60</v>
      </c>
      <c r="B33" s="52"/>
      <c r="C33" s="52"/>
      <c r="D33" s="53" t="s">
        <v>60</v>
      </c>
      <c r="E33" s="53"/>
      <c r="F33" s="53"/>
      <c r="G33" s="53" t="s">
        <v>60</v>
      </c>
      <c r="H33" s="53"/>
      <c r="I33" s="53"/>
    </row>
    <row r="34" customFormat="false" ht="15" hidden="false" customHeight="false" outlineLevel="0" collapsed="false">
      <c r="A34" s="1"/>
    </row>
    <row r="35" customFormat="false" ht="12.75" hidden="true" customHeight="true" outlineLevel="0" collapsed="false">
      <c r="A35" s="9"/>
      <c r="B35" s="9"/>
      <c r="C35" s="9"/>
      <c r="D35" s="9"/>
      <c r="E35" s="9"/>
      <c r="F35" s="9"/>
      <c r="G35" s="9"/>
      <c r="H35" s="9"/>
      <c r="I35" s="9"/>
    </row>
  </sheetData>
  <mergeCells count="80">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2:I12"/>
    <mergeCell ref="B13:C13"/>
    <mergeCell ref="E13:F13"/>
    <mergeCell ref="H13:I13"/>
    <mergeCell ref="D14:E14"/>
    <mergeCell ref="G14:H14"/>
    <mergeCell ref="D15:E15"/>
    <mergeCell ref="G15:H15"/>
    <mergeCell ref="D16:E16"/>
    <mergeCell ref="G16:H16"/>
    <mergeCell ref="D17:E17"/>
    <mergeCell ref="G17:H17"/>
    <mergeCell ref="D18:E18"/>
    <mergeCell ref="G18:H18"/>
    <mergeCell ref="D19:E19"/>
    <mergeCell ref="G19:H19"/>
    <mergeCell ref="A20:B20"/>
    <mergeCell ref="D20:E20"/>
    <mergeCell ref="G20:H20"/>
    <mergeCell ref="A21:B21"/>
    <mergeCell ref="D21:E21"/>
    <mergeCell ref="G21:H21"/>
    <mergeCell ref="A22:B22"/>
    <mergeCell ref="D22:E22"/>
    <mergeCell ref="G22:H22"/>
    <mergeCell ref="G23:H23"/>
    <mergeCell ref="A25:B25"/>
    <mergeCell ref="A26:B26"/>
    <mergeCell ref="D26:E26"/>
    <mergeCell ref="G26:H26"/>
    <mergeCell ref="A27:B27"/>
    <mergeCell ref="D27:E27"/>
    <mergeCell ref="G27:H27"/>
    <mergeCell ref="A29:C29"/>
    <mergeCell ref="D29:F29"/>
    <mergeCell ref="G29:I29"/>
    <mergeCell ref="A30:C30"/>
    <mergeCell ref="D30:F30"/>
    <mergeCell ref="G30:I30"/>
    <mergeCell ref="A31:C31"/>
    <mergeCell ref="D31:F31"/>
    <mergeCell ref="G31:I31"/>
    <mergeCell ref="A32:C32"/>
    <mergeCell ref="D32:F32"/>
    <mergeCell ref="G32:I32"/>
    <mergeCell ref="A33:C33"/>
    <mergeCell ref="D33:F33"/>
    <mergeCell ref="G33:I33"/>
    <mergeCell ref="A35:I35"/>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1" pageOrder="downThenOver" orientation="landscape" blackAndWhite="false" draft="false" cellComments="none" horizontalDpi="300" verticalDpi="300" copies="1"/>
  <headerFooter differentFirst="false" differentOddEven="false">
    <oddHeader/>
    <oddFooter/>
  </headerFooter>
  <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I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6" activeCellId="0" sqref="A36"/>
    </sheetView>
  </sheetViews>
  <sheetFormatPr defaultColWidth="12.1484375" defaultRowHeight="15" customHeight="true" zeroHeight="false" outlineLevelRow="0" outlineLevelCol="0"/>
  <cols>
    <col collapsed="false" customWidth="true" hidden="false" outlineLevel="0" max="1" min="1" style="22" width="9.14"/>
    <col collapsed="false" customWidth="true" hidden="false" outlineLevel="0" max="2" min="2" style="22" width="12.86"/>
    <col collapsed="false" customWidth="true" hidden="false" outlineLevel="0" max="3" min="3" style="22" width="22.86"/>
    <col collapsed="false" customWidth="true" hidden="false" outlineLevel="0" max="4" min="4" style="22" width="10"/>
    <col collapsed="false" customWidth="true" hidden="false" outlineLevel="0" max="5" min="5" style="22" width="14"/>
    <col collapsed="false" customWidth="true" hidden="false" outlineLevel="0" max="6" min="6" style="22" width="22.86"/>
    <col collapsed="false" customWidth="true" hidden="false" outlineLevel="0" max="7" min="7" style="22" width="9.14"/>
    <col collapsed="false" customWidth="true" hidden="false" outlineLevel="0" max="8" min="8" style="22" width="17.15"/>
    <col collapsed="false" customWidth="true" hidden="false" outlineLevel="0" max="9" min="9" style="22" width="22.86"/>
  </cols>
  <sheetData>
    <row r="1" customFormat="false" ht="54.75" hidden="false" customHeight="true" outlineLevel="0" collapsed="false">
      <c r="A1" s="24" t="s">
        <v>786</v>
      </c>
      <c r="B1" s="24"/>
      <c r="C1" s="24"/>
      <c r="D1" s="24"/>
      <c r="E1" s="24"/>
      <c r="F1" s="24"/>
      <c r="G1" s="24"/>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65</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3" customFormat="false" ht="15" hidden="false" customHeight="false" outlineLevel="0" collapsed="false">
      <c r="A13" s="58" t="s">
        <v>76</v>
      </c>
      <c r="B13" s="58"/>
      <c r="C13" s="58"/>
      <c r="D13" s="58"/>
      <c r="E13" s="58"/>
    </row>
    <row r="14" customFormat="false" ht="15" hidden="false" customHeight="false" outlineLevel="0" collapsed="false">
      <c r="A14" s="59" t="s">
        <v>77</v>
      </c>
      <c r="B14" s="59"/>
      <c r="C14" s="59"/>
      <c r="D14" s="59"/>
      <c r="E14" s="59"/>
      <c r="F14" s="60" t="s">
        <v>78</v>
      </c>
      <c r="G14" s="60" t="s">
        <v>79</v>
      </c>
      <c r="H14" s="60" t="s">
        <v>80</v>
      </c>
      <c r="I14" s="60" t="s">
        <v>78</v>
      </c>
    </row>
    <row r="15" customFormat="false" ht="15" hidden="false" customHeight="false" outlineLevel="0" collapsed="false">
      <c r="A15" s="61" t="s">
        <v>39</v>
      </c>
      <c r="B15" s="61"/>
      <c r="C15" s="61"/>
      <c r="D15" s="61"/>
      <c r="E15" s="61"/>
      <c r="F15" s="62" t="n">
        <v>0</v>
      </c>
      <c r="G15" s="63"/>
      <c r="H15" s="63"/>
      <c r="I15" s="62" t="n">
        <f aca="false">F15</f>
        <v>0</v>
      </c>
    </row>
    <row r="16" customFormat="false" ht="15" hidden="false" customHeight="false" outlineLevel="0" collapsed="false">
      <c r="A16" s="61" t="s">
        <v>41</v>
      </c>
      <c r="B16" s="61"/>
      <c r="C16" s="61"/>
      <c r="D16" s="61"/>
      <c r="E16" s="61"/>
      <c r="F16" s="62" t="n">
        <v>0</v>
      </c>
      <c r="G16" s="63"/>
      <c r="H16" s="63"/>
      <c r="I16" s="62" t="n">
        <f aca="false">F16</f>
        <v>0</v>
      </c>
    </row>
    <row r="17" customFormat="false" ht="15" hidden="false" customHeight="false" outlineLevel="0" collapsed="false">
      <c r="A17" s="64" t="s">
        <v>43</v>
      </c>
      <c r="B17" s="64"/>
      <c r="C17" s="64"/>
      <c r="D17" s="64"/>
      <c r="E17" s="64"/>
      <c r="F17" s="65" t="n">
        <v>0</v>
      </c>
      <c r="G17" s="10"/>
      <c r="H17" s="10"/>
      <c r="I17" s="65" t="n">
        <f aca="false">F17</f>
        <v>0</v>
      </c>
    </row>
    <row r="18" customFormat="false" ht="15" hidden="false" customHeight="false" outlineLevel="0" collapsed="false">
      <c r="A18" s="66" t="s">
        <v>81</v>
      </c>
      <c r="B18" s="66"/>
      <c r="C18" s="66"/>
      <c r="D18" s="66"/>
      <c r="E18" s="66"/>
      <c r="F18" s="67"/>
      <c r="G18" s="68"/>
      <c r="H18" s="68"/>
      <c r="I18" s="69" t="n">
        <f aca="false">SUM(I15:I17)</f>
        <v>0</v>
      </c>
    </row>
    <row r="20" customFormat="false" ht="15" hidden="false" customHeight="false" outlineLevel="0" collapsed="false">
      <c r="A20" s="59" t="s">
        <v>82</v>
      </c>
      <c r="B20" s="59"/>
      <c r="C20" s="59"/>
      <c r="D20" s="59"/>
      <c r="E20" s="59"/>
      <c r="F20" s="60" t="s">
        <v>78</v>
      </c>
      <c r="G20" s="60" t="s">
        <v>79</v>
      </c>
      <c r="H20" s="60" t="s">
        <v>80</v>
      </c>
      <c r="I20" s="60" t="s">
        <v>78</v>
      </c>
    </row>
    <row r="21" customFormat="false" ht="15" hidden="false" customHeight="false" outlineLevel="0" collapsed="false">
      <c r="A21" s="61" t="s">
        <v>83</v>
      </c>
      <c r="B21" s="61"/>
      <c r="C21" s="61"/>
      <c r="D21" s="61"/>
      <c r="E21" s="61"/>
      <c r="F21" s="62" t="n">
        <v>0</v>
      </c>
      <c r="G21" s="63"/>
      <c r="H21" s="63"/>
      <c r="I21" s="62" t="n">
        <f aca="false">F21</f>
        <v>0</v>
      </c>
    </row>
    <row r="22" customFormat="false" ht="15" hidden="false" customHeight="false" outlineLevel="0" collapsed="false">
      <c r="A22" s="61" t="s">
        <v>84</v>
      </c>
      <c r="B22" s="61"/>
      <c r="C22" s="61"/>
      <c r="D22" s="61"/>
      <c r="E22" s="61"/>
      <c r="F22" s="62" t="n">
        <v>0</v>
      </c>
      <c r="G22" s="63"/>
      <c r="H22" s="63"/>
      <c r="I22" s="62" t="n">
        <f aca="false">F22</f>
        <v>0</v>
      </c>
    </row>
    <row r="23" customFormat="false" ht="15" hidden="false" customHeight="false" outlineLevel="0" collapsed="false">
      <c r="A23" s="61" t="s">
        <v>85</v>
      </c>
      <c r="B23" s="61"/>
      <c r="C23" s="61"/>
      <c r="D23" s="61"/>
      <c r="E23" s="61"/>
      <c r="F23" s="62" t="n">
        <v>0</v>
      </c>
      <c r="G23" s="63"/>
      <c r="H23" s="63"/>
      <c r="I23" s="62" t="n">
        <f aca="false">F23</f>
        <v>0</v>
      </c>
    </row>
    <row r="24" customFormat="false" ht="15" hidden="false" customHeight="false" outlineLevel="0" collapsed="false">
      <c r="A24" s="61" t="s">
        <v>86</v>
      </c>
      <c r="B24" s="61"/>
      <c r="C24" s="61"/>
      <c r="D24" s="61"/>
      <c r="E24" s="61"/>
      <c r="F24" s="62" t="n">
        <v>0</v>
      </c>
      <c r="G24" s="63"/>
      <c r="H24" s="63"/>
      <c r="I24" s="62" t="n">
        <f aca="false">F24</f>
        <v>0</v>
      </c>
    </row>
    <row r="25" customFormat="false" ht="15" hidden="false" customHeight="false" outlineLevel="0" collapsed="false">
      <c r="A25" s="61" t="s">
        <v>87</v>
      </c>
      <c r="B25" s="61"/>
      <c r="C25" s="61"/>
      <c r="D25" s="61"/>
      <c r="E25" s="61"/>
      <c r="F25" s="62" t="n">
        <v>0</v>
      </c>
      <c r="G25" s="63"/>
      <c r="H25" s="63"/>
      <c r="I25" s="62" t="n">
        <f aca="false">F25</f>
        <v>0</v>
      </c>
    </row>
    <row r="26" customFormat="false" ht="15" hidden="false" customHeight="false" outlineLevel="0" collapsed="false">
      <c r="A26" s="64" t="s">
        <v>88</v>
      </c>
      <c r="B26" s="64"/>
      <c r="C26" s="64"/>
      <c r="D26" s="64"/>
      <c r="E26" s="64"/>
      <c r="F26" s="65" t="n">
        <v>0</v>
      </c>
      <c r="G26" s="10"/>
      <c r="H26" s="10"/>
      <c r="I26" s="65" t="n">
        <f aca="false">F26</f>
        <v>0</v>
      </c>
    </row>
    <row r="27" customFormat="false" ht="15" hidden="false" customHeight="false" outlineLevel="0" collapsed="false">
      <c r="A27" s="66" t="s">
        <v>89</v>
      </c>
      <c r="B27" s="66"/>
      <c r="C27" s="66"/>
      <c r="D27" s="66"/>
      <c r="E27" s="66"/>
      <c r="F27" s="67"/>
      <c r="G27" s="68"/>
      <c r="H27" s="68"/>
      <c r="I27" s="69" t="n">
        <f aca="false">SUM(I21:I26)</f>
        <v>0</v>
      </c>
    </row>
    <row r="29" customFormat="false" ht="15" hidden="false" customHeight="false" outlineLevel="0" collapsed="false">
      <c r="A29" s="70" t="s">
        <v>90</v>
      </c>
      <c r="B29" s="70"/>
      <c r="C29" s="70"/>
      <c r="D29" s="70"/>
      <c r="E29" s="70"/>
      <c r="F29" s="71" t="n">
        <f aca="false">I18+I27</f>
        <v>0</v>
      </c>
      <c r="G29" s="71"/>
      <c r="H29" s="71"/>
      <c r="I29" s="71"/>
    </row>
    <row r="33" customFormat="false" ht="15" hidden="false" customHeight="false" outlineLevel="0" collapsed="false">
      <c r="A33" s="58" t="s">
        <v>91</v>
      </c>
      <c r="B33" s="58"/>
      <c r="C33" s="58"/>
      <c r="D33" s="58"/>
      <c r="E33" s="58"/>
    </row>
    <row r="34" customFormat="false" ht="15" hidden="false" customHeight="false" outlineLevel="0" collapsed="false">
      <c r="A34" s="59" t="s">
        <v>92</v>
      </c>
      <c r="B34" s="59"/>
      <c r="C34" s="59"/>
      <c r="D34" s="59"/>
      <c r="E34" s="59"/>
      <c r="F34" s="60" t="s">
        <v>78</v>
      </c>
      <c r="G34" s="60" t="s">
        <v>79</v>
      </c>
      <c r="H34" s="60" t="s">
        <v>80</v>
      </c>
      <c r="I34" s="60" t="s">
        <v>78</v>
      </c>
    </row>
    <row r="35" customFormat="false" ht="15" hidden="false" customHeight="false" outlineLevel="0" collapsed="false">
      <c r="A35" s="64"/>
      <c r="B35" s="64"/>
      <c r="C35" s="64"/>
      <c r="D35" s="64"/>
      <c r="E35" s="64"/>
      <c r="F35" s="65" t="n">
        <v>0</v>
      </c>
      <c r="G35" s="10"/>
      <c r="H35" s="10"/>
      <c r="I35" s="65" t="n">
        <f aca="false">F35</f>
        <v>0</v>
      </c>
    </row>
    <row r="36" customFormat="false" ht="15" hidden="false" customHeight="false" outlineLevel="0" collapsed="false">
      <c r="A36" s="66" t="s">
        <v>93</v>
      </c>
      <c r="B36" s="66"/>
      <c r="C36" s="66"/>
      <c r="D36" s="66"/>
      <c r="E36" s="66"/>
      <c r="F36" s="67"/>
      <c r="G36" s="68"/>
      <c r="H36" s="68"/>
      <c r="I36" s="69" t="n">
        <f aca="false">SUM(I35)</f>
        <v>0</v>
      </c>
    </row>
  </sheetData>
  <mergeCells count="51">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558B2F"/>
    <pageSetUpPr fitToPage="true"/>
  </sheetPr>
  <dimension ref="A1:BX8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12.1484375" defaultRowHeight="15" customHeight="true" zeroHeight="false" outlineLevelRow="0" outlineLevelCol="0"/>
  <cols>
    <col collapsed="false" customWidth="true" hidden="false" outlineLevel="0" max="1" min="1" style="22" width="4"/>
    <col collapsed="false" customWidth="true" hidden="false" outlineLevel="0" max="2" min="2" style="22" width="8.15"/>
    <col collapsed="false" customWidth="true" hidden="false" outlineLevel="0" max="3" min="3" style="22" width="14.09"/>
    <col collapsed="false" customWidth="true" hidden="false" outlineLevel="0" max="4" min="4" style="103" width="42.86"/>
    <col collapsed="false" customWidth="true" hidden="false" outlineLevel="0" max="5" min="5" style="22" width="17.02"/>
    <col collapsed="false" customWidth="true" hidden="false" outlineLevel="0" max="6" min="6" style="22" width="4.29"/>
    <col collapsed="false" customWidth="true" hidden="false" outlineLevel="0" max="7" min="7" style="104" width="10.51"/>
    <col collapsed="false" customWidth="true" hidden="false" outlineLevel="0" max="8" min="8" style="22" width="12"/>
    <col collapsed="false" customWidth="true" hidden="false" outlineLevel="0" max="11" min="9" style="22" width="15.71"/>
    <col collapsed="false" customWidth="true" hidden="false" outlineLevel="0" max="12" min="12" style="22" width="8.67"/>
    <col collapsed="false" customWidth="true" hidden="false" outlineLevel="0" max="13" min="13" style="22" width="9.65"/>
    <col collapsed="false" customWidth="true" hidden="false" outlineLevel="0" max="14" min="14" style="22" width="13.42"/>
    <col collapsed="false" customWidth="false" hidden="true" outlineLevel="0" max="75" min="25" style="22" width="12.15"/>
    <col collapsed="false" customWidth="true" hidden="true" outlineLevel="0" max="76" min="76" style="22" width="78.57"/>
    <col collapsed="false" customWidth="false" hidden="true" outlineLevel="0" max="78" min="77" style="22" width="12.15"/>
  </cols>
  <sheetData>
    <row r="1" customFormat="false" ht="39.7" hidden="false" customHeight="true" outlineLevel="0" collapsed="false">
      <c r="A1" s="106" t="s">
        <v>787</v>
      </c>
      <c r="B1" s="106"/>
      <c r="C1" s="106"/>
      <c r="D1" s="106"/>
      <c r="E1" s="106"/>
      <c r="F1" s="106"/>
      <c r="G1" s="106"/>
      <c r="H1" s="106"/>
      <c r="I1" s="106"/>
      <c r="J1" s="106"/>
      <c r="K1" s="106"/>
      <c r="L1" s="106"/>
      <c r="M1" s="106"/>
      <c r="N1" s="106"/>
      <c r="AS1" s="107" t="n">
        <f aca="false">SUM(AJ1:AJ2)</f>
        <v>0</v>
      </c>
      <c r="AT1" s="107" t="n">
        <f aca="false">SUM(AK1:AK2)</f>
        <v>0</v>
      </c>
      <c r="AU1" s="107" t="n">
        <f aca="false">SUM(AL1:AL2)</f>
        <v>0</v>
      </c>
    </row>
    <row r="2" customFormat="false" ht="15" hidden="false" customHeight="true" outlineLevel="0" collapsed="false">
      <c r="A2" s="3" t="s">
        <v>1</v>
      </c>
      <c r="B2" s="3"/>
      <c r="C2" s="4" t="str">
        <f aca="false">'Stavební rozpočet'!C2</f>
        <v>Přeměna sídlištních ploch – II. Etapa _ Fontána Jablko</v>
      </c>
      <c r="D2" s="4"/>
      <c r="E2" s="108" t="s">
        <v>95</v>
      </c>
      <c r="F2" s="5" t="str">
        <f aca="false">'Stavební rozpočet'!F2</f>
        <v> </v>
      </c>
      <c r="G2" s="5"/>
      <c r="H2" s="5" t="s">
        <v>2</v>
      </c>
      <c r="I2" s="73" t="str">
        <f aca="false">'Stavební rozpočet'!I2</f>
        <v>Městská část Praha 12, Generála Šišky 2375/6, 143</v>
      </c>
      <c r="J2" s="73"/>
      <c r="K2" s="73"/>
      <c r="L2" s="73"/>
      <c r="M2" s="73"/>
      <c r="N2" s="73"/>
    </row>
    <row r="3" customFormat="false" ht="15" hidden="false" customHeight="false" outlineLevel="0" collapsed="false">
      <c r="A3" s="3"/>
      <c r="B3" s="3"/>
      <c r="C3" s="4"/>
      <c r="D3" s="4"/>
      <c r="E3" s="108"/>
      <c r="F3" s="108"/>
      <c r="G3" s="5"/>
      <c r="H3" s="5"/>
      <c r="I3" s="5"/>
      <c r="J3" s="73"/>
      <c r="K3" s="73"/>
      <c r="L3" s="73"/>
      <c r="M3" s="73"/>
      <c r="N3" s="73"/>
    </row>
    <row r="4" customFormat="false" ht="15" hidden="false" customHeight="true" outlineLevel="0" collapsed="false">
      <c r="A4" s="8" t="s">
        <v>5</v>
      </c>
      <c r="B4" s="8"/>
      <c r="C4" s="9" t="str">
        <f aca="false">'Stavební rozpočet'!C4</f>
        <v>Stavební úpravy veřejného prostranství _Fontána Jablko</v>
      </c>
      <c r="D4" s="9"/>
      <c r="E4" s="11" t="s">
        <v>10</v>
      </c>
      <c r="F4" s="9" t="str">
        <f aca="false">'Stavební rozpočet'!F4</f>
        <v> </v>
      </c>
      <c r="G4" s="9"/>
      <c r="H4" s="9" t="s">
        <v>6</v>
      </c>
      <c r="I4" s="74" t="str">
        <f aca="false">'Stavební rozpočet'!I4</f>
        <v>HUA HUA ARCHITECTS s.r.o., Porážka 459/2, 602 00 Brno</v>
      </c>
      <c r="J4" s="74"/>
      <c r="K4" s="74"/>
      <c r="L4" s="74"/>
      <c r="M4" s="74"/>
      <c r="N4" s="74"/>
    </row>
    <row r="5" customFormat="false" ht="15" hidden="false" customHeight="false" outlineLevel="0" collapsed="false">
      <c r="A5" s="8"/>
      <c r="B5" s="8"/>
      <c r="C5" s="9"/>
      <c r="D5" s="9"/>
      <c r="E5" s="11"/>
      <c r="F5" s="11"/>
      <c r="G5" s="9"/>
      <c r="H5" s="9"/>
      <c r="I5" s="9"/>
      <c r="J5" s="74"/>
      <c r="K5" s="74"/>
      <c r="L5" s="74"/>
      <c r="M5" s="74"/>
      <c r="N5" s="74"/>
    </row>
    <row r="6" customFormat="false" ht="15" hidden="false" customHeight="true" outlineLevel="0" collapsed="false">
      <c r="A6" s="8" t="s">
        <v>8</v>
      </c>
      <c r="B6" s="8"/>
      <c r="C6" s="9" t="str">
        <f aca="false">'Stavební rozpočet'!C6</f>
        <v>Praha (554782),Modřany (728616), par.č. 4400/448</v>
      </c>
      <c r="D6" s="9"/>
      <c r="E6" s="11" t="s">
        <v>11</v>
      </c>
      <c r="F6" s="9" t="str">
        <f aca="false">'Stavební rozpočet'!F6</f>
        <v> </v>
      </c>
      <c r="G6" s="9"/>
      <c r="H6" s="9" t="s">
        <v>9</v>
      </c>
      <c r="I6" s="74" t="str">
        <f aca="false">'Stavební rozpočet'!I6</f>
        <v> </v>
      </c>
      <c r="J6" s="74"/>
      <c r="K6" s="74"/>
      <c r="L6" s="74"/>
      <c r="M6" s="74"/>
      <c r="N6" s="74"/>
    </row>
    <row r="7" customFormat="false" ht="15" hidden="false" customHeight="false" outlineLevel="0" collapsed="false">
      <c r="A7" s="8"/>
      <c r="B7" s="8"/>
      <c r="C7" s="9"/>
      <c r="D7" s="9"/>
      <c r="E7" s="11"/>
      <c r="F7" s="11"/>
      <c r="G7" s="9"/>
      <c r="H7" s="9"/>
      <c r="I7" s="9"/>
      <c r="J7" s="74"/>
      <c r="K7" s="74"/>
      <c r="L7" s="74"/>
      <c r="M7" s="74"/>
      <c r="N7" s="74"/>
    </row>
    <row r="8" customFormat="false" ht="15" hidden="false" customHeight="true" outlineLevel="0" collapsed="false">
      <c r="A8" s="8" t="s">
        <v>13</v>
      </c>
      <c r="B8" s="8"/>
      <c r="C8" s="9" t="str">
        <f aca="false">'Stavební rozpočet'!C8</f>
        <v>8225733</v>
      </c>
      <c r="D8" s="9"/>
      <c r="E8" s="11" t="s">
        <v>96</v>
      </c>
      <c r="F8" s="9" t="str">
        <f aca="false">'Stavební rozpočet'!F8</f>
        <v>08.01.2026</v>
      </c>
      <c r="G8" s="9"/>
      <c r="H8" s="9" t="s">
        <v>14</v>
      </c>
      <c r="I8" s="74" t="str">
        <f aca="false">'Stavební rozpočet'!I8</f>
        <v>Bohuslav Hemala</v>
      </c>
      <c r="J8" s="74"/>
      <c r="K8" s="74"/>
      <c r="L8" s="74"/>
      <c r="M8" s="74"/>
      <c r="N8" s="74"/>
    </row>
    <row r="9" customFormat="false" ht="15" hidden="false" customHeight="false" outlineLevel="0" collapsed="false">
      <c r="A9" s="8"/>
      <c r="B9" s="8"/>
      <c r="C9" s="9"/>
      <c r="D9" s="9"/>
      <c r="E9" s="11"/>
      <c r="F9" s="11"/>
      <c r="G9" s="9"/>
      <c r="H9" s="9"/>
      <c r="I9" s="9"/>
      <c r="J9" s="74"/>
      <c r="K9" s="74"/>
      <c r="L9" s="74"/>
      <c r="M9" s="74"/>
      <c r="N9" s="74"/>
    </row>
    <row r="10" customFormat="false" ht="15" hidden="false" customHeight="true" outlineLevel="0" collapsed="false">
      <c r="A10" s="109" t="s">
        <v>124</v>
      </c>
      <c r="B10" s="110" t="s">
        <v>100</v>
      </c>
      <c r="C10" s="110" t="s">
        <v>125</v>
      </c>
      <c r="D10" s="111" t="s">
        <v>101</v>
      </c>
      <c r="E10" s="111"/>
      <c r="F10" s="110" t="s">
        <v>126</v>
      </c>
      <c r="G10" s="112" t="s">
        <v>127</v>
      </c>
      <c r="H10" s="113" t="s">
        <v>128</v>
      </c>
      <c r="I10" s="77" t="s">
        <v>98</v>
      </c>
      <c r="J10" s="77"/>
      <c r="K10" s="77"/>
      <c r="L10" s="114" t="s">
        <v>99</v>
      </c>
      <c r="M10" s="114"/>
      <c r="N10" s="115" t="s">
        <v>129</v>
      </c>
      <c r="BK10" s="116" t="s">
        <v>130</v>
      </c>
      <c r="BL10" s="117" t="s">
        <v>131</v>
      </c>
      <c r="BW10" s="117" t="s">
        <v>132</v>
      </c>
    </row>
    <row r="11" customFormat="false" ht="15" hidden="false" customHeight="true" outlineLevel="0" collapsed="false">
      <c r="A11" s="118" t="s">
        <v>97</v>
      </c>
      <c r="B11" s="119" t="s">
        <v>97</v>
      </c>
      <c r="C11" s="119" t="s">
        <v>97</v>
      </c>
      <c r="D11" s="120" t="s">
        <v>133</v>
      </c>
      <c r="E11" s="120"/>
      <c r="F11" s="119" t="s">
        <v>97</v>
      </c>
      <c r="G11" s="121" t="s">
        <v>97</v>
      </c>
      <c r="H11" s="122" t="s">
        <v>134</v>
      </c>
      <c r="I11" s="81" t="s">
        <v>102</v>
      </c>
      <c r="J11" s="82" t="s">
        <v>40</v>
      </c>
      <c r="K11" s="83" t="s">
        <v>103</v>
      </c>
      <c r="L11" s="82" t="s">
        <v>135</v>
      </c>
      <c r="M11" s="122" t="s">
        <v>103</v>
      </c>
      <c r="N11" s="81" t="s">
        <v>136</v>
      </c>
      <c r="Z11" s="116" t="s">
        <v>137</v>
      </c>
      <c r="AA11" s="116" t="s">
        <v>138</v>
      </c>
      <c r="AB11" s="116" t="s">
        <v>139</v>
      </c>
      <c r="AC11" s="116" t="s">
        <v>140</v>
      </c>
      <c r="AD11" s="116" t="s">
        <v>141</v>
      </c>
      <c r="AE11" s="116" t="s">
        <v>142</v>
      </c>
      <c r="AF11" s="116" t="s">
        <v>143</v>
      </c>
      <c r="AG11" s="116" t="s">
        <v>144</v>
      </c>
      <c r="AH11" s="116" t="s">
        <v>145</v>
      </c>
      <c r="BH11" s="116" t="s">
        <v>146</v>
      </c>
      <c r="BI11" s="116" t="s">
        <v>147</v>
      </c>
      <c r="BJ11" s="116" t="s">
        <v>148</v>
      </c>
    </row>
    <row r="12" customFormat="false" ht="19.85" hidden="false" customHeight="true" outlineLevel="0" collapsed="false">
      <c r="A12" s="92"/>
      <c r="B12" s="152" t="s">
        <v>109</v>
      </c>
      <c r="C12" s="152"/>
      <c r="D12" s="153" t="s">
        <v>110</v>
      </c>
      <c r="E12" s="153"/>
      <c r="F12" s="92" t="s">
        <v>97</v>
      </c>
      <c r="G12" s="154" t="s">
        <v>97</v>
      </c>
      <c r="H12" s="92" t="s">
        <v>97</v>
      </c>
      <c r="I12" s="155" t="n">
        <f aca="false">ROUND(SUM(I13,I20,I73),2)</f>
        <v>0</v>
      </c>
      <c r="J12" s="155" t="n">
        <f aca="false">ROUND(SUM(J13,J20,J73),2)</f>
        <v>0</v>
      </c>
      <c r="K12" s="155" t="n">
        <f aca="false">ROUND(SUM(K13,K20,K73),2)</f>
        <v>0</v>
      </c>
      <c r="L12" s="156"/>
      <c r="M12" s="155" t="n">
        <f aca="false">SUM(M13,M20,M73)</f>
        <v>6.911998</v>
      </c>
      <c r="N12" s="156"/>
    </row>
    <row r="13" customFormat="false" ht="15" hidden="false" customHeight="true" outlineLevel="0" collapsed="false">
      <c r="A13" s="128"/>
      <c r="B13" s="129" t="s">
        <v>109</v>
      </c>
      <c r="C13" s="129" t="s">
        <v>149</v>
      </c>
      <c r="D13" s="130" t="s">
        <v>150</v>
      </c>
      <c r="E13" s="130"/>
      <c r="F13" s="128" t="s">
        <v>97</v>
      </c>
      <c r="G13" s="131" t="s">
        <v>97</v>
      </c>
      <c r="H13" s="128" t="s">
        <v>97</v>
      </c>
      <c r="I13" s="132" t="n">
        <f aca="false">ROUND(SUM(I14:I19),2)</f>
        <v>0</v>
      </c>
      <c r="J13" s="132" t="n">
        <f aca="false">ROUND(SUM(J14:J19),2)</f>
        <v>0</v>
      </c>
      <c r="K13" s="132" t="n">
        <f aca="false">ROUND(SUM(K14:K19),2)</f>
        <v>0</v>
      </c>
      <c r="L13" s="133"/>
      <c r="M13" s="132" t="n">
        <f aca="false">SUM(M14:M19)</f>
        <v>0.005773</v>
      </c>
      <c r="N13" s="133"/>
      <c r="AI13" s="116" t="s">
        <v>109</v>
      </c>
      <c r="AS13" s="107" t="n">
        <f aca="false">SUM(AJ14:AJ19)</f>
        <v>0</v>
      </c>
      <c r="AT13" s="107" t="n">
        <f aca="false">SUM(AK14:AK19)</f>
        <v>0</v>
      </c>
      <c r="AU13" s="107" t="n">
        <f aca="false">SUM(AL14:AL19)</f>
        <v>0</v>
      </c>
    </row>
    <row r="14" customFormat="false" ht="23.85" hidden="false" customHeight="true" outlineLevel="0" collapsed="false">
      <c r="A14" s="134" t="s">
        <v>151</v>
      </c>
      <c r="B14" s="134" t="s">
        <v>109</v>
      </c>
      <c r="C14" s="134" t="s">
        <v>365</v>
      </c>
      <c r="D14" s="135" t="s">
        <v>366</v>
      </c>
      <c r="E14" s="135"/>
      <c r="F14" s="134" t="s">
        <v>169</v>
      </c>
      <c r="G14" s="136" t="n">
        <f aca="false">'Stavební rozpočet'!G85</f>
        <v>67.4</v>
      </c>
      <c r="H14" s="137" t="n">
        <f aca="false">'Stavební rozpočet'!H85</f>
        <v>0</v>
      </c>
      <c r="I14" s="137" t="n">
        <f aca="false">ROUND(G14*AO14,2)</f>
        <v>0</v>
      </c>
      <c r="J14" s="137" t="n">
        <f aca="false">ROUND(G14*AP14,2)</f>
        <v>0</v>
      </c>
      <c r="K14" s="137" t="n">
        <f aca="false">ROUND(G14*H14,2)</f>
        <v>0</v>
      </c>
      <c r="L14" s="137" t="n">
        <f aca="false">'Stavební rozpočet'!L85</f>
        <v>0</v>
      </c>
      <c r="M14" s="137" t="n">
        <f aca="false">G14*L14</f>
        <v>0</v>
      </c>
      <c r="N14" s="138" t="s">
        <v>155</v>
      </c>
      <c r="Z14" s="88" t="n">
        <f aca="false">ROUND(IF(AQ14="5",BJ14,0),2)</f>
        <v>0</v>
      </c>
      <c r="AB14" s="88" t="n">
        <f aca="false">ROUND(IF(AQ14="1",BH14,0),2)</f>
        <v>0</v>
      </c>
      <c r="AC14" s="88" t="n">
        <f aca="false">ROUND(IF(AQ14="1",BI14,0),2)</f>
        <v>0</v>
      </c>
      <c r="AD14" s="88" t="n">
        <f aca="false">ROUND(IF(AQ14="7",BH14,0),2)</f>
        <v>0</v>
      </c>
      <c r="AE14" s="88" t="n">
        <f aca="false">ROUND(IF(AQ14="7",BI14,0),2)</f>
        <v>0</v>
      </c>
      <c r="AF14" s="88" t="n">
        <f aca="false">ROUND(IF(AQ14="2",BH14,0),2)</f>
        <v>0</v>
      </c>
      <c r="AG14" s="88" t="n">
        <f aca="false">ROUND(IF(AQ14="2",BI14,0),2)</f>
        <v>0</v>
      </c>
      <c r="AH14" s="88" t="n">
        <f aca="false">ROUND(IF(AQ14="0",BJ14,0),2)</f>
        <v>0</v>
      </c>
      <c r="AI14" s="116" t="s">
        <v>109</v>
      </c>
      <c r="AJ14" s="88" t="n">
        <f aca="false">IF(AN14=0,K14,0)</f>
        <v>0</v>
      </c>
      <c r="AK14" s="88" t="n">
        <f aca="false">IF(AN14=12,K14,0)</f>
        <v>0</v>
      </c>
      <c r="AL14" s="88" t="n">
        <f aca="false">IF(AN14=21,K14,0)</f>
        <v>0</v>
      </c>
      <c r="AN14" s="88" t="n">
        <v>21</v>
      </c>
      <c r="AO14" s="88" t="n">
        <f aca="false">H14*0.007235952</f>
        <v>0</v>
      </c>
      <c r="AP14" s="88" t="n">
        <f aca="false">H14*(1-0.007235952)</f>
        <v>0</v>
      </c>
      <c r="AQ14" s="87" t="s">
        <v>151</v>
      </c>
      <c r="AV14" s="88" t="n">
        <f aca="false">ROUND(AW14+AX14,2)</f>
        <v>0</v>
      </c>
      <c r="AW14" s="88" t="n">
        <f aca="false">ROUND(G14*AO14,2)</f>
        <v>0</v>
      </c>
      <c r="AX14" s="88" t="n">
        <f aca="false">ROUND(G14*AP14,2)</f>
        <v>0</v>
      </c>
      <c r="AY14" s="87" t="s">
        <v>156</v>
      </c>
      <c r="AZ14" s="87" t="s">
        <v>367</v>
      </c>
      <c r="BA14" s="116" t="s">
        <v>368</v>
      </c>
      <c r="BC14" s="88" t="n">
        <f aca="false">AW14+AX14</f>
        <v>0</v>
      </c>
      <c r="BD14" s="88" t="n">
        <f aca="false">H14/(100-BE14)*100</f>
        <v>0</v>
      </c>
      <c r="BE14" s="88" t="n">
        <v>0</v>
      </c>
      <c r="BF14" s="88" t="n">
        <f aca="false">M14</f>
        <v>0</v>
      </c>
      <c r="BH14" s="88" t="n">
        <f aca="false">G14*AO14</f>
        <v>0</v>
      </c>
      <c r="BI14" s="88" t="n">
        <f aca="false">G14*AP14</f>
        <v>0</v>
      </c>
      <c r="BJ14" s="88" t="n">
        <f aca="false">G14*H14</f>
        <v>0</v>
      </c>
      <c r="BK14" s="87" t="s">
        <v>159</v>
      </c>
      <c r="BL14" s="88" t="n">
        <v>11</v>
      </c>
      <c r="BW14" s="88" t="n">
        <v>21</v>
      </c>
      <c r="BX14" s="9" t="s">
        <v>366</v>
      </c>
    </row>
    <row r="15" customFormat="false" ht="15" hidden="false" customHeight="true" outlineLevel="0" collapsed="false">
      <c r="A15" s="139" t="s">
        <v>160</v>
      </c>
      <c r="B15" s="139" t="s">
        <v>109</v>
      </c>
      <c r="C15" s="139" t="s">
        <v>370</v>
      </c>
      <c r="D15" s="140" t="s">
        <v>371</v>
      </c>
      <c r="E15" s="140"/>
      <c r="F15" s="139" t="s">
        <v>372</v>
      </c>
      <c r="G15" s="141" t="n">
        <f aca="false">'Stavební rozpočet'!G86</f>
        <v>0.044</v>
      </c>
      <c r="H15" s="142" t="n">
        <f aca="false">'Stavební rozpočet'!H86</f>
        <v>0</v>
      </c>
      <c r="I15" s="142" t="n">
        <f aca="false">ROUND(G15*AO15,2)</f>
        <v>0</v>
      </c>
      <c r="J15" s="142" t="n">
        <f aca="false">ROUND(G15*AP15,2)</f>
        <v>0</v>
      </c>
      <c r="K15" s="142" t="n">
        <f aca="false">ROUND(G15*H15,2)</f>
        <v>0</v>
      </c>
      <c r="L15" s="142" t="n">
        <f aca="false">'Stavební rozpočet'!L86</f>
        <v>0.001</v>
      </c>
      <c r="M15" s="142" t="n">
        <f aca="false">G15*L15</f>
        <v>4.4E-005</v>
      </c>
      <c r="N15" s="143" t="s">
        <v>155</v>
      </c>
      <c r="Z15" s="88" t="n">
        <f aca="false">ROUND(IF(AQ15="5",BJ15,0),2)</f>
        <v>0</v>
      </c>
      <c r="AB15" s="88" t="n">
        <f aca="false">ROUND(IF(AQ15="1",BH15,0),2)</f>
        <v>0</v>
      </c>
      <c r="AC15" s="88" t="n">
        <f aca="false">ROUND(IF(AQ15="1",BI15,0),2)</f>
        <v>0</v>
      </c>
      <c r="AD15" s="88" t="n">
        <f aca="false">ROUND(IF(AQ15="7",BH15,0),2)</f>
        <v>0</v>
      </c>
      <c r="AE15" s="88" t="n">
        <f aca="false">ROUND(IF(AQ15="7",BI15,0),2)</f>
        <v>0</v>
      </c>
      <c r="AF15" s="88" t="n">
        <f aca="false">ROUND(IF(AQ15="2",BH15,0),2)</f>
        <v>0</v>
      </c>
      <c r="AG15" s="88" t="n">
        <f aca="false">ROUND(IF(AQ15="2",BI15,0),2)</f>
        <v>0</v>
      </c>
      <c r="AH15" s="88" t="n">
        <f aca="false">ROUND(IF(AQ15="0",BJ15,0),2)</f>
        <v>0</v>
      </c>
      <c r="AI15" s="116" t="s">
        <v>109</v>
      </c>
      <c r="AJ15" s="144" t="n">
        <f aca="false">IF(AN15=0,K15,0)</f>
        <v>0</v>
      </c>
      <c r="AK15" s="144" t="n">
        <f aca="false">IF(AN15=12,K15,0)</f>
        <v>0</v>
      </c>
      <c r="AL15" s="144" t="n">
        <f aca="false">IF(AN15=21,K15,0)</f>
        <v>0</v>
      </c>
      <c r="AN15" s="88" t="n">
        <v>21</v>
      </c>
      <c r="AO15" s="88" t="n">
        <f aca="false">H15*1</f>
        <v>0</v>
      </c>
      <c r="AP15" s="88" t="n">
        <f aca="false">H15*(1-1)</f>
        <v>0</v>
      </c>
      <c r="AQ15" s="145" t="s">
        <v>151</v>
      </c>
      <c r="AV15" s="88" t="n">
        <f aca="false">ROUND(AW15+AX15,2)</f>
        <v>0</v>
      </c>
      <c r="AW15" s="88" t="n">
        <f aca="false">ROUND(G15*AO15,2)</f>
        <v>0</v>
      </c>
      <c r="AX15" s="88" t="n">
        <f aca="false">ROUND(G15*AP15,2)</f>
        <v>0</v>
      </c>
      <c r="AY15" s="87" t="s">
        <v>156</v>
      </c>
      <c r="AZ15" s="87" t="s">
        <v>367</v>
      </c>
      <c r="BA15" s="116" t="s">
        <v>368</v>
      </c>
      <c r="BC15" s="88" t="n">
        <f aca="false">AW15+AX15</f>
        <v>0</v>
      </c>
      <c r="BD15" s="88" t="n">
        <f aca="false">H15/(100-BE15)*100</f>
        <v>0</v>
      </c>
      <c r="BE15" s="88" t="n">
        <v>0</v>
      </c>
      <c r="BF15" s="88" t="n">
        <f aca="false">M15</f>
        <v>4.4E-005</v>
      </c>
      <c r="BH15" s="144" t="n">
        <f aca="false">G15*AO15</f>
        <v>0</v>
      </c>
      <c r="BI15" s="144" t="n">
        <f aca="false">G15*AP15</f>
        <v>0</v>
      </c>
      <c r="BJ15" s="144" t="n">
        <f aca="false">G15*H15</f>
        <v>0</v>
      </c>
      <c r="BK15" s="145" t="s">
        <v>180</v>
      </c>
      <c r="BL15" s="88" t="n">
        <v>11</v>
      </c>
      <c r="BW15" s="88" t="n">
        <v>21</v>
      </c>
      <c r="BX15" s="146" t="s">
        <v>371</v>
      </c>
    </row>
    <row r="16" customFormat="false" ht="23.85" hidden="false" customHeight="true" outlineLevel="0" collapsed="false">
      <c r="A16" s="134" t="s">
        <v>164</v>
      </c>
      <c r="B16" s="134" t="s">
        <v>109</v>
      </c>
      <c r="C16" s="134" t="s">
        <v>374</v>
      </c>
      <c r="D16" s="135" t="s">
        <v>375</v>
      </c>
      <c r="E16" s="135"/>
      <c r="F16" s="134" t="s">
        <v>169</v>
      </c>
      <c r="G16" s="136" t="n">
        <f aca="false">'Stavební rozpočet'!G87</f>
        <v>33.7</v>
      </c>
      <c r="H16" s="137" t="n">
        <f aca="false">'Stavební rozpočet'!H87</f>
        <v>0</v>
      </c>
      <c r="I16" s="137" t="n">
        <f aca="false">ROUND(G16*AO16,2)</f>
        <v>0</v>
      </c>
      <c r="J16" s="137" t="n">
        <f aca="false">ROUND(G16*AP16,2)</f>
        <v>0</v>
      </c>
      <c r="K16" s="137" t="n">
        <f aca="false">ROUND(G16*H16,2)</f>
        <v>0</v>
      </c>
      <c r="L16" s="137" t="n">
        <f aca="false">'Stavební rozpočet'!L87</f>
        <v>0</v>
      </c>
      <c r="M16" s="137" t="n">
        <f aca="false">G16*L16</f>
        <v>0</v>
      </c>
      <c r="N16" s="138" t="s">
        <v>155</v>
      </c>
      <c r="Z16" s="88" t="n">
        <f aca="false">ROUND(IF(AQ16="5",BJ16,0),2)</f>
        <v>0</v>
      </c>
      <c r="AB16" s="88" t="n">
        <f aca="false">ROUND(IF(AQ16="1",BH16,0),2)</f>
        <v>0</v>
      </c>
      <c r="AC16" s="88" t="n">
        <f aca="false">ROUND(IF(AQ16="1",BI16,0),2)</f>
        <v>0</v>
      </c>
      <c r="AD16" s="88" t="n">
        <f aca="false">ROUND(IF(AQ16="7",BH16,0),2)</f>
        <v>0</v>
      </c>
      <c r="AE16" s="88" t="n">
        <f aca="false">ROUND(IF(AQ16="7",BI16,0),2)</f>
        <v>0</v>
      </c>
      <c r="AF16" s="88" t="n">
        <f aca="false">ROUND(IF(AQ16="2",BH16,0),2)</f>
        <v>0</v>
      </c>
      <c r="AG16" s="88" t="n">
        <f aca="false">ROUND(IF(AQ16="2",BI16,0),2)</f>
        <v>0</v>
      </c>
      <c r="AH16" s="88" t="n">
        <f aca="false">ROUND(IF(AQ16="0",BJ16,0),2)</f>
        <v>0</v>
      </c>
      <c r="AI16" s="116" t="s">
        <v>109</v>
      </c>
      <c r="AJ16" s="88" t="n">
        <f aca="false">IF(AN16=0,K16,0)</f>
        <v>0</v>
      </c>
      <c r="AK16" s="88" t="n">
        <f aca="false">IF(AN16=12,K16,0)</f>
        <v>0</v>
      </c>
      <c r="AL16" s="88" t="n">
        <f aca="false">IF(AN16=21,K16,0)</f>
        <v>0</v>
      </c>
      <c r="AN16" s="88" t="n">
        <v>21</v>
      </c>
      <c r="AO16" s="88" t="n">
        <f aca="false">H16*0</f>
        <v>0</v>
      </c>
      <c r="AP16" s="88" t="n">
        <f aca="false">H16*(1-0)</f>
        <v>0</v>
      </c>
      <c r="AQ16" s="87" t="s">
        <v>151</v>
      </c>
      <c r="AV16" s="88" t="n">
        <f aca="false">ROUND(AW16+AX16,2)</f>
        <v>0</v>
      </c>
      <c r="AW16" s="88" t="n">
        <f aca="false">ROUND(G16*AO16,2)</f>
        <v>0</v>
      </c>
      <c r="AX16" s="88" t="n">
        <f aca="false">ROUND(G16*AP16,2)</f>
        <v>0</v>
      </c>
      <c r="AY16" s="87" t="s">
        <v>156</v>
      </c>
      <c r="AZ16" s="87" t="s">
        <v>367</v>
      </c>
      <c r="BA16" s="116" t="s">
        <v>368</v>
      </c>
      <c r="BC16" s="88" t="n">
        <f aca="false">AW16+AX16</f>
        <v>0</v>
      </c>
      <c r="BD16" s="88" t="n">
        <f aca="false">H16/(100-BE16)*100</f>
        <v>0</v>
      </c>
      <c r="BE16" s="88" t="n">
        <v>0</v>
      </c>
      <c r="BF16" s="88" t="n">
        <f aca="false">M16</f>
        <v>0</v>
      </c>
      <c r="BH16" s="88" t="n">
        <f aca="false">G16*AO16</f>
        <v>0</v>
      </c>
      <c r="BI16" s="88" t="n">
        <f aca="false">G16*AP16</f>
        <v>0</v>
      </c>
      <c r="BJ16" s="88" t="n">
        <f aca="false">G16*H16</f>
        <v>0</v>
      </c>
      <c r="BK16" s="87" t="s">
        <v>159</v>
      </c>
      <c r="BL16" s="88" t="n">
        <v>11</v>
      </c>
      <c r="BW16" s="88" t="n">
        <v>21</v>
      </c>
      <c r="BX16" s="9" t="s">
        <v>375</v>
      </c>
    </row>
    <row r="17" customFormat="false" ht="15" hidden="false" customHeight="true" outlineLevel="0" collapsed="false">
      <c r="A17" s="134" t="s">
        <v>166</v>
      </c>
      <c r="B17" s="134" t="s">
        <v>109</v>
      </c>
      <c r="C17" s="134" t="s">
        <v>377</v>
      </c>
      <c r="D17" s="135" t="s">
        <v>378</v>
      </c>
      <c r="E17" s="135"/>
      <c r="F17" s="134" t="s">
        <v>169</v>
      </c>
      <c r="G17" s="136" t="n">
        <f aca="false">'Stavební rozpočet'!G88</f>
        <v>33.7</v>
      </c>
      <c r="H17" s="137" t="n">
        <f aca="false">'Stavební rozpočet'!H88</f>
        <v>0</v>
      </c>
      <c r="I17" s="137" t="n">
        <f aca="false">ROUND(G17*AO17,2)</f>
        <v>0</v>
      </c>
      <c r="J17" s="137" t="n">
        <f aca="false">ROUND(G17*AP17,2)</f>
        <v>0</v>
      </c>
      <c r="K17" s="137" t="n">
        <f aca="false">ROUND(G17*H17,2)</f>
        <v>0</v>
      </c>
      <c r="L17" s="137" t="n">
        <f aca="false">'Stavební rozpočet'!L88</f>
        <v>0.00017</v>
      </c>
      <c r="M17" s="137" t="n">
        <f aca="false">G17*L17</f>
        <v>0.005729</v>
      </c>
      <c r="N17" s="138" t="s">
        <v>155</v>
      </c>
      <c r="Z17" s="88" t="n">
        <f aca="false">ROUND(IF(AQ17="5",BJ17,0),2)</f>
        <v>0</v>
      </c>
      <c r="AB17" s="88" t="n">
        <f aca="false">ROUND(IF(AQ17="1",BH17,0),2)</f>
        <v>0</v>
      </c>
      <c r="AC17" s="88" t="n">
        <f aca="false">ROUND(IF(AQ17="1",BI17,0),2)</f>
        <v>0</v>
      </c>
      <c r="AD17" s="88" t="n">
        <f aca="false">ROUND(IF(AQ17="7",BH17,0),2)</f>
        <v>0</v>
      </c>
      <c r="AE17" s="88" t="n">
        <f aca="false">ROUND(IF(AQ17="7",BI17,0),2)</f>
        <v>0</v>
      </c>
      <c r="AF17" s="88" t="n">
        <f aca="false">ROUND(IF(AQ17="2",BH17,0),2)</f>
        <v>0</v>
      </c>
      <c r="AG17" s="88" t="n">
        <f aca="false">ROUND(IF(AQ17="2",BI17,0),2)</f>
        <v>0</v>
      </c>
      <c r="AH17" s="88" t="n">
        <f aca="false">ROUND(IF(AQ17="0",BJ17,0),2)</f>
        <v>0</v>
      </c>
      <c r="AI17" s="116" t="s">
        <v>109</v>
      </c>
      <c r="AJ17" s="88" t="n">
        <f aca="false">IF(AN17=0,K17,0)</f>
        <v>0</v>
      </c>
      <c r="AK17" s="88" t="n">
        <f aca="false">IF(AN17=12,K17,0)</f>
        <v>0</v>
      </c>
      <c r="AL17" s="88" t="n">
        <f aca="false">IF(AN17=21,K17,0)</f>
        <v>0</v>
      </c>
      <c r="AN17" s="88" t="n">
        <v>21</v>
      </c>
      <c r="AO17" s="88" t="n">
        <f aca="false">H17*0.146153846</f>
        <v>0</v>
      </c>
      <c r="AP17" s="88" t="n">
        <f aca="false">H17*(1-0.146153846)</f>
        <v>0</v>
      </c>
      <c r="AQ17" s="87" t="s">
        <v>151</v>
      </c>
      <c r="AV17" s="88" t="n">
        <f aca="false">ROUND(AW17+AX17,2)</f>
        <v>0</v>
      </c>
      <c r="AW17" s="88" t="n">
        <f aca="false">ROUND(G17*AO17,2)</f>
        <v>0</v>
      </c>
      <c r="AX17" s="88" t="n">
        <f aca="false">ROUND(G17*AP17,2)</f>
        <v>0</v>
      </c>
      <c r="AY17" s="87" t="s">
        <v>156</v>
      </c>
      <c r="AZ17" s="87" t="s">
        <v>367</v>
      </c>
      <c r="BA17" s="116" t="s">
        <v>368</v>
      </c>
      <c r="BC17" s="88" t="n">
        <f aca="false">AW17+AX17</f>
        <v>0</v>
      </c>
      <c r="BD17" s="88" t="n">
        <f aca="false">H17/(100-BE17)*100</f>
        <v>0</v>
      </c>
      <c r="BE17" s="88" t="n">
        <v>0</v>
      </c>
      <c r="BF17" s="88" t="n">
        <f aca="false">M17</f>
        <v>0.005729</v>
      </c>
      <c r="BH17" s="88" t="n">
        <f aca="false">G17*AO17</f>
        <v>0</v>
      </c>
      <c r="BI17" s="88" t="n">
        <f aca="false">G17*AP17</f>
        <v>0</v>
      </c>
      <c r="BJ17" s="88" t="n">
        <f aca="false">G17*H17</f>
        <v>0</v>
      </c>
      <c r="BK17" s="87" t="s">
        <v>159</v>
      </c>
      <c r="BL17" s="88" t="n">
        <v>11</v>
      </c>
      <c r="BW17" s="88" t="n">
        <v>21</v>
      </c>
      <c r="BX17" s="9" t="s">
        <v>378</v>
      </c>
    </row>
    <row r="18" customFormat="false" ht="24.05" hidden="false" customHeight="true" outlineLevel="0" collapsed="false">
      <c r="A18" s="134" t="s">
        <v>170</v>
      </c>
      <c r="B18" s="134" t="s">
        <v>109</v>
      </c>
      <c r="C18" s="134" t="s">
        <v>380</v>
      </c>
      <c r="D18" s="135" t="s">
        <v>381</v>
      </c>
      <c r="E18" s="135"/>
      <c r="F18" s="134" t="s">
        <v>169</v>
      </c>
      <c r="G18" s="136" t="n">
        <f aca="false">'Stavební rozpočet'!G89</f>
        <v>33.7</v>
      </c>
      <c r="H18" s="137" t="n">
        <f aca="false">'Stavební rozpočet'!H89</f>
        <v>0</v>
      </c>
      <c r="I18" s="137" t="n">
        <f aca="false">ROUND(G18*AO18,2)</f>
        <v>0</v>
      </c>
      <c r="J18" s="137" t="n">
        <f aca="false">ROUND(G18*AP18,2)</f>
        <v>0</v>
      </c>
      <c r="K18" s="137" t="n">
        <f aca="false">ROUND(G18*H18,2)</f>
        <v>0</v>
      </c>
      <c r="L18" s="137" t="n">
        <f aca="false">'Stavební rozpočet'!L89</f>
        <v>0</v>
      </c>
      <c r="M18" s="137" t="n">
        <f aca="false">G18*L18</f>
        <v>0</v>
      </c>
      <c r="N18" s="138" t="s">
        <v>155</v>
      </c>
      <c r="Z18" s="88" t="n">
        <f aca="false">ROUND(IF(AQ18="5",BJ18,0),2)</f>
        <v>0</v>
      </c>
      <c r="AB18" s="88" t="n">
        <f aca="false">ROUND(IF(AQ18="1",BH18,0),2)</f>
        <v>0</v>
      </c>
      <c r="AC18" s="88" t="n">
        <f aca="false">ROUND(IF(AQ18="1",BI18,0),2)</f>
        <v>0</v>
      </c>
      <c r="AD18" s="88" t="n">
        <f aca="false">ROUND(IF(AQ18="7",BH18,0),2)</f>
        <v>0</v>
      </c>
      <c r="AE18" s="88" t="n">
        <f aca="false">ROUND(IF(AQ18="7",BI18,0),2)</f>
        <v>0</v>
      </c>
      <c r="AF18" s="88" t="n">
        <f aca="false">ROUND(IF(AQ18="2",BH18,0),2)</f>
        <v>0</v>
      </c>
      <c r="AG18" s="88" t="n">
        <f aca="false">ROUND(IF(AQ18="2",BI18,0),2)</f>
        <v>0</v>
      </c>
      <c r="AH18" s="88" t="n">
        <f aca="false">ROUND(IF(AQ18="0",BJ18,0),2)</f>
        <v>0</v>
      </c>
      <c r="AI18" s="116" t="s">
        <v>109</v>
      </c>
      <c r="AJ18" s="88" t="n">
        <f aca="false">IF(AN18=0,K18,0)</f>
        <v>0</v>
      </c>
      <c r="AK18" s="88" t="n">
        <f aca="false">IF(AN18=12,K18,0)</f>
        <v>0</v>
      </c>
      <c r="AL18" s="88" t="n">
        <f aca="false">IF(AN18=21,K18,0)</f>
        <v>0</v>
      </c>
      <c r="AN18" s="88" t="n">
        <v>21</v>
      </c>
      <c r="AO18" s="88" t="n">
        <f aca="false">H18*0</f>
        <v>0</v>
      </c>
      <c r="AP18" s="88" t="n">
        <f aca="false">H18*(1-0)</f>
        <v>0</v>
      </c>
      <c r="AQ18" s="87" t="s">
        <v>151</v>
      </c>
      <c r="AV18" s="88" t="n">
        <f aca="false">ROUND(AW18+AX18,2)</f>
        <v>0</v>
      </c>
      <c r="AW18" s="88" t="n">
        <f aca="false">ROUND(G18*AO18,2)</f>
        <v>0</v>
      </c>
      <c r="AX18" s="88" t="n">
        <f aca="false">ROUND(G18*AP18,2)</f>
        <v>0</v>
      </c>
      <c r="AY18" s="87" t="s">
        <v>156</v>
      </c>
      <c r="AZ18" s="87" t="s">
        <v>367</v>
      </c>
      <c r="BA18" s="116" t="s">
        <v>368</v>
      </c>
      <c r="BC18" s="88" t="n">
        <f aca="false">AW18+AX18</f>
        <v>0</v>
      </c>
      <c r="BD18" s="88" t="n">
        <f aca="false">H18/(100-BE18)*100</f>
        <v>0</v>
      </c>
      <c r="BE18" s="88" t="n">
        <v>0</v>
      </c>
      <c r="BF18" s="88" t="n">
        <f aca="false">M18</f>
        <v>0</v>
      </c>
      <c r="BH18" s="88" t="n">
        <f aca="false">G18*AO18</f>
        <v>0</v>
      </c>
      <c r="BI18" s="88" t="n">
        <f aca="false">G18*AP18</f>
        <v>0</v>
      </c>
      <c r="BJ18" s="88" t="n">
        <f aca="false">G18*H18</f>
        <v>0</v>
      </c>
      <c r="BK18" s="87" t="s">
        <v>159</v>
      </c>
      <c r="BL18" s="88" t="n">
        <v>11</v>
      </c>
      <c r="BW18" s="88" t="n">
        <v>21</v>
      </c>
      <c r="BX18" s="9" t="s">
        <v>381</v>
      </c>
    </row>
    <row r="19" customFormat="false" ht="15" hidden="false" customHeight="true" outlineLevel="0" collapsed="false">
      <c r="A19" s="134" t="s">
        <v>173</v>
      </c>
      <c r="B19" s="134" t="s">
        <v>109</v>
      </c>
      <c r="C19" s="134" t="s">
        <v>383</v>
      </c>
      <c r="D19" s="135" t="s">
        <v>384</v>
      </c>
      <c r="E19" s="135"/>
      <c r="F19" s="134" t="s">
        <v>169</v>
      </c>
      <c r="G19" s="136" t="n">
        <f aca="false">'Stavební rozpočet'!G90</f>
        <v>33.7</v>
      </c>
      <c r="H19" s="137" t="n">
        <f aca="false">'Stavební rozpočet'!H90</f>
        <v>0</v>
      </c>
      <c r="I19" s="137" t="n">
        <f aca="false">ROUND(G19*AO19,2)</f>
        <v>0</v>
      </c>
      <c r="J19" s="137" t="n">
        <f aca="false">ROUND(G19*AP19,2)</f>
        <v>0</v>
      </c>
      <c r="K19" s="137" t="n">
        <f aca="false">ROUND(G19*H19,2)</f>
        <v>0</v>
      </c>
      <c r="L19" s="137" t="n">
        <f aca="false">'Stavební rozpočet'!L90</f>
        <v>0</v>
      </c>
      <c r="M19" s="137" t="n">
        <f aca="false">G19*L19</f>
        <v>0</v>
      </c>
      <c r="N19" s="138" t="s">
        <v>155</v>
      </c>
      <c r="Z19" s="88" t="n">
        <f aca="false">ROUND(IF(AQ19="5",BJ19,0),2)</f>
        <v>0</v>
      </c>
      <c r="AB19" s="88" t="n">
        <f aca="false">ROUND(IF(AQ19="1",BH19,0),2)</f>
        <v>0</v>
      </c>
      <c r="AC19" s="88" t="n">
        <f aca="false">ROUND(IF(AQ19="1",BI19,0),2)</f>
        <v>0</v>
      </c>
      <c r="AD19" s="88" t="n">
        <f aca="false">ROUND(IF(AQ19="7",BH19,0),2)</f>
        <v>0</v>
      </c>
      <c r="AE19" s="88" t="n">
        <f aca="false">ROUND(IF(AQ19="7",BI19,0),2)</f>
        <v>0</v>
      </c>
      <c r="AF19" s="88" t="n">
        <f aca="false">ROUND(IF(AQ19="2",BH19,0),2)</f>
        <v>0</v>
      </c>
      <c r="AG19" s="88" t="n">
        <f aca="false">ROUND(IF(AQ19="2",BI19,0),2)</f>
        <v>0</v>
      </c>
      <c r="AH19" s="88" t="n">
        <f aca="false">ROUND(IF(AQ19="0",BJ19,0),2)</f>
        <v>0</v>
      </c>
      <c r="AI19" s="116" t="s">
        <v>109</v>
      </c>
      <c r="AJ19" s="88" t="n">
        <f aca="false">IF(AN19=0,K19,0)</f>
        <v>0</v>
      </c>
      <c r="AK19" s="88" t="n">
        <f aca="false">IF(AN19=12,K19,0)</f>
        <v>0</v>
      </c>
      <c r="AL19" s="88" t="n">
        <f aca="false">IF(AN19=21,K19,0)</f>
        <v>0</v>
      </c>
      <c r="AN19" s="88" t="n">
        <v>21</v>
      </c>
      <c r="AO19" s="88" t="n">
        <f aca="false">H19*0</f>
        <v>0</v>
      </c>
      <c r="AP19" s="88" t="n">
        <f aca="false">H19*(1-0)</f>
        <v>0</v>
      </c>
      <c r="AQ19" s="87" t="s">
        <v>151</v>
      </c>
      <c r="AV19" s="88" t="n">
        <f aca="false">ROUND(AW19+AX19,2)</f>
        <v>0</v>
      </c>
      <c r="AW19" s="88" t="n">
        <f aca="false">ROUND(G19*AO19,2)</f>
        <v>0</v>
      </c>
      <c r="AX19" s="88" t="n">
        <f aca="false">ROUND(G19*AP19,2)</f>
        <v>0</v>
      </c>
      <c r="AY19" s="87" t="s">
        <v>156</v>
      </c>
      <c r="AZ19" s="87" t="s">
        <v>367</v>
      </c>
      <c r="BA19" s="116" t="s">
        <v>368</v>
      </c>
      <c r="BC19" s="88" t="n">
        <f aca="false">AW19+AX19</f>
        <v>0</v>
      </c>
      <c r="BD19" s="88" t="n">
        <f aca="false">H19/(100-BE19)*100</f>
        <v>0</v>
      </c>
      <c r="BE19" s="88" t="n">
        <v>0</v>
      </c>
      <c r="BF19" s="88" t="n">
        <f aca="false">M19</f>
        <v>0</v>
      </c>
      <c r="BH19" s="88" t="n">
        <f aca="false">G19*AO19</f>
        <v>0</v>
      </c>
      <c r="BI19" s="88" t="n">
        <f aca="false">G19*AP19</f>
        <v>0</v>
      </c>
      <c r="BJ19" s="88" t="n">
        <f aca="false">G19*H19</f>
        <v>0</v>
      </c>
      <c r="BK19" s="87" t="s">
        <v>159</v>
      </c>
      <c r="BL19" s="88" t="n">
        <v>11</v>
      </c>
      <c r="BW19" s="88" t="n">
        <v>21</v>
      </c>
      <c r="BX19" s="9" t="s">
        <v>384</v>
      </c>
    </row>
    <row r="20" customFormat="false" ht="15" hidden="false" customHeight="true" outlineLevel="0" collapsed="false">
      <c r="A20" s="128"/>
      <c r="B20" s="129" t="s">
        <v>109</v>
      </c>
      <c r="C20" s="129" t="s">
        <v>222</v>
      </c>
      <c r="D20" s="130" t="s">
        <v>385</v>
      </c>
      <c r="E20" s="130"/>
      <c r="F20" s="128" t="s">
        <v>97</v>
      </c>
      <c r="G20" s="131" t="s">
        <v>97</v>
      </c>
      <c r="H20" s="128" t="s">
        <v>97</v>
      </c>
      <c r="I20" s="132" t="n">
        <f aca="false">ROUND(SUM(I21:I72),2)</f>
        <v>0</v>
      </c>
      <c r="J20" s="132" t="n">
        <f aca="false">ROUND(SUM(J21:J72),2)</f>
        <v>0</v>
      </c>
      <c r="K20" s="132" t="n">
        <f aca="false">ROUND(SUM(K21:K72),2)</f>
        <v>0</v>
      </c>
      <c r="L20" s="133"/>
      <c r="M20" s="132" t="n">
        <f aca="false">SUM(M21:M72)</f>
        <v>6.906225</v>
      </c>
      <c r="N20" s="133"/>
      <c r="AI20" s="116" t="s">
        <v>109</v>
      </c>
      <c r="AS20" s="107" t="n">
        <f aca="false">SUM(AJ21:AJ72)</f>
        <v>0</v>
      </c>
      <c r="AT20" s="107" t="n">
        <f aca="false">SUM(AK21:AK72)</f>
        <v>0</v>
      </c>
      <c r="AU20" s="107" t="n">
        <f aca="false">SUM(AL21:AL72)</f>
        <v>0</v>
      </c>
    </row>
    <row r="21" customFormat="false" ht="15" hidden="false" customHeight="true" outlineLevel="0" collapsed="false">
      <c r="A21" s="134" t="s">
        <v>176</v>
      </c>
      <c r="B21" s="134" t="s">
        <v>109</v>
      </c>
      <c r="C21" s="134" t="s">
        <v>387</v>
      </c>
      <c r="D21" s="135" t="s">
        <v>388</v>
      </c>
      <c r="E21" s="135"/>
      <c r="F21" s="134" t="s">
        <v>202</v>
      </c>
      <c r="G21" s="136" t="n">
        <f aca="false">'Stavební rozpočet'!G92</f>
        <v>193</v>
      </c>
      <c r="H21" s="137" t="n">
        <f aca="false">'Stavební rozpočet'!H92</f>
        <v>0</v>
      </c>
      <c r="I21" s="137" t="n">
        <f aca="false">ROUND(G21*AO21,2)</f>
        <v>0</v>
      </c>
      <c r="J21" s="137" t="n">
        <f aca="false">ROUND(G21*AP21,2)</f>
        <v>0</v>
      </c>
      <c r="K21" s="137" t="n">
        <f aca="false">ROUND(G21*H21,2)</f>
        <v>0</v>
      </c>
      <c r="L21" s="137" t="n">
        <f aca="false">'Stavební rozpočet'!L92</f>
        <v>0</v>
      </c>
      <c r="M21" s="137" t="n">
        <f aca="false">G21*L21</f>
        <v>0</v>
      </c>
      <c r="N21" s="138" t="s">
        <v>155</v>
      </c>
      <c r="Z21" s="88" t="n">
        <f aca="false">ROUND(IF(AQ21="5",BJ21,0),2)</f>
        <v>0</v>
      </c>
      <c r="AB21" s="88" t="n">
        <f aca="false">ROUND(IF(AQ21="1",BH21,0),2)</f>
        <v>0</v>
      </c>
      <c r="AC21" s="88" t="n">
        <f aca="false">ROUND(IF(AQ21="1",BI21,0),2)</f>
        <v>0</v>
      </c>
      <c r="AD21" s="88" t="n">
        <f aca="false">ROUND(IF(AQ21="7",BH21,0),2)</f>
        <v>0</v>
      </c>
      <c r="AE21" s="88" t="n">
        <f aca="false">ROUND(IF(AQ21="7",BI21,0),2)</f>
        <v>0</v>
      </c>
      <c r="AF21" s="88" t="n">
        <f aca="false">ROUND(IF(AQ21="2",BH21,0),2)</f>
        <v>0</v>
      </c>
      <c r="AG21" s="88" t="n">
        <f aca="false">ROUND(IF(AQ21="2",BI21,0),2)</f>
        <v>0</v>
      </c>
      <c r="AH21" s="88" t="n">
        <f aca="false">ROUND(IF(AQ21="0",BJ21,0),2)</f>
        <v>0</v>
      </c>
      <c r="AI21" s="116" t="s">
        <v>109</v>
      </c>
      <c r="AJ21" s="88" t="n">
        <f aca="false">IF(AN21=0,K21,0)</f>
        <v>0</v>
      </c>
      <c r="AK21" s="88" t="n">
        <f aca="false">IF(AN21=12,K21,0)</f>
        <v>0</v>
      </c>
      <c r="AL21" s="88" t="n">
        <f aca="false">IF(AN21=21,K21,0)</f>
        <v>0</v>
      </c>
      <c r="AN21" s="88" t="n">
        <v>21</v>
      </c>
      <c r="AO21" s="88" t="n">
        <f aca="false">H21*0.007952286</f>
        <v>0</v>
      </c>
      <c r="AP21" s="88" t="n">
        <f aca="false">H21*(1-0.007952286)</f>
        <v>0</v>
      </c>
      <c r="AQ21" s="87" t="s">
        <v>151</v>
      </c>
      <c r="AV21" s="88" t="n">
        <f aca="false">ROUND(AW21+AX21,2)</f>
        <v>0</v>
      </c>
      <c r="AW21" s="88" t="n">
        <f aca="false">ROUND(G21*AO21,2)</f>
        <v>0</v>
      </c>
      <c r="AX21" s="88" t="n">
        <f aca="false">ROUND(G21*AP21,2)</f>
        <v>0</v>
      </c>
      <c r="AY21" s="87" t="s">
        <v>389</v>
      </c>
      <c r="AZ21" s="87" t="s">
        <v>367</v>
      </c>
      <c r="BA21" s="116" t="s">
        <v>368</v>
      </c>
      <c r="BC21" s="88" t="n">
        <f aca="false">AW21+AX21</f>
        <v>0</v>
      </c>
      <c r="BD21" s="88" t="n">
        <f aca="false">H21/(100-BE21)*100</f>
        <v>0</v>
      </c>
      <c r="BE21" s="88" t="n">
        <v>0</v>
      </c>
      <c r="BF21" s="88" t="n">
        <f aca="false">M21</f>
        <v>0</v>
      </c>
      <c r="BH21" s="88" t="n">
        <f aca="false">G21*AO21</f>
        <v>0</v>
      </c>
      <c r="BI21" s="88" t="n">
        <f aca="false">G21*AP21</f>
        <v>0</v>
      </c>
      <c r="BJ21" s="88" t="n">
        <f aca="false">G21*H21</f>
        <v>0</v>
      </c>
      <c r="BK21" s="87" t="s">
        <v>159</v>
      </c>
      <c r="BL21" s="88" t="n">
        <v>18</v>
      </c>
      <c r="BW21" s="88" t="n">
        <v>21</v>
      </c>
      <c r="BX21" s="9" t="s">
        <v>388</v>
      </c>
    </row>
    <row r="22" customFormat="false" ht="15" hidden="false" customHeight="true" outlineLevel="0" collapsed="false">
      <c r="A22" s="134" t="s">
        <v>181</v>
      </c>
      <c r="B22" s="134" t="s">
        <v>109</v>
      </c>
      <c r="C22" s="134" t="s">
        <v>391</v>
      </c>
      <c r="D22" s="135" t="s">
        <v>392</v>
      </c>
      <c r="E22" s="135"/>
      <c r="F22" s="134" t="s">
        <v>202</v>
      </c>
      <c r="G22" s="136" t="n">
        <f aca="false">'Stavební rozpočet'!G93</f>
        <v>193</v>
      </c>
      <c r="H22" s="137" t="n">
        <f aca="false">'Stavební rozpočet'!H93</f>
        <v>0</v>
      </c>
      <c r="I22" s="137" t="n">
        <f aca="false">ROUND(G22*AO22,2)</f>
        <v>0</v>
      </c>
      <c r="J22" s="137" t="n">
        <f aca="false">ROUND(G22*AP22,2)</f>
        <v>0</v>
      </c>
      <c r="K22" s="137" t="n">
        <f aca="false">ROUND(G22*H22,2)</f>
        <v>0</v>
      </c>
      <c r="L22" s="137" t="n">
        <f aca="false">'Stavební rozpočet'!L93</f>
        <v>0</v>
      </c>
      <c r="M22" s="137" t="n">
        <f aca="false">G22*L22</f>
        <v>0</v>
      </c>
      <c r="N22" s="138" t="s">
        <v>155</v>
      </c>
      <c r="Z22" s="88" t="n">
        <f aca="false">ROUND(IF(AQ22="5",BJ22,0),2)</f>
        <v>0</v>
      </c>
      <c r="AB22" s="88" t="n">
        <f aca="false">ROUND(IF(AQ22="1",BH22,0),2)</f>
        <v>0</v>
      </c>
      <c r="AC22" s="88" t="n">
        <f aca="false">ROUND(IF(AQ22="1",BI22,0),2)</f>
        <v>0</v>
      </c>
      <c r="AD22" s="88" t="n">
        <f aca="false">ROUND(IF(AQ22="7",BH22,0),2)</f>
        <v>0</v>
      </c>
      <c r="AE22" s="88" t="n">
        <f aca="false">ROUND(IF(AQ22="7",BI22,0),2)</f>
        <v>0</v>
      </c>
      <c r="AF22" s="88" t="n">
        <f aca="false">ROUND(IF(AQ22="2",BH22,0),2)</f>
        <v>0</v>
      </c>
      <c r="AG22" s="88" t="n">
        <f aca="false">ROUND(IF(AQ22="2",BI22,0),2)</f>
        <v>0</v>
      </c>
      <c r="AH22" s="88" t="n">
        <f aca="false">ROUND(IF(AQ22="0",BJ22,0),2)</f>
        <v>0</v>
      </c>
      <c r="AI22" s="116" t="s">
        <v>109</v>
      </c>
      <c r="AJ22" s="88" t="n">
        <f aca="false">IF(AN22=0,K22,0)</f>
        <v>0</v>
      </c>
      <c r="AK22" s="88" t="n">
        <f aca="false">IF(AN22=12,K22,0)</f>
        <v>0</v>
      </c>
      <c r="AL22" s="88" t="n">
        <f aca="false">IF(AN22=21,K22,0)</f>
        <v>0</v>
      </c>
      <c r="AN22" s="88" t="n">
        <v>21</v>
      </c>
      <c r="AO22" s="88" t="n">
        <f aca="false">H22*0</f>
        <v>0</v>
      </c>
      <c r="AP22" s="88" t="n">
        <f aca="false">H22*(1-0)</f>
        <v>0</v>
      </c>
      <c r="AQ22" s="87" t="s">
        <v>151</v>
      </c>
      <c r="AV22" s="88" t="n">
        <f aca="false">ROUND(AW22+AX22,2)</f>
        <v>0</v>
      </c>
      <c r="AW22" s="88" t="n">
        <f aca="false">ROUND(G22*AO22,2)</f>
        <v>0</v>
      </c>
      <c r="AX22" s="88" t="n">
        <f aca="false">ROUND(G22*AP22,2)</f>
        <v>0</v>
      </c>
      <c r="AY22" s="87" t="s">
        <v>389</v>
      </c>
      <c r="AZ22" s="87" t="s">
        <v>367</v>
      </c>
      <c r="BA22" s="116" t="s">
        <v>368</v>
      </c>
      <c r="BC22" s="88" t="n">
        <f aca="false">AW22+AX22</f>
        <v>0</v>
      </c>
      <c r="BD22" s="88" t="n">
        <f aca="false">H22/(100-BE22)*100</f>
        <v>0</v>
      </c>
      <c r="BE22" s="88" t="n">
        <v>0</v>
      </c>
      <c r="BF22" s="88" t="n">
        <f aca="false">M22</f>
        <v>0</v>
      </c>
      <c r="BH22" s="88" t="n">
        <f aca="false">G22*AO22</f>
        <v>0</v>
      </c>
      <c r="BI22" s="88" t="n">
        <f aca="false">G22*AP22</f>
        <v>0</v>
      </c>
      <c r="BJ22" s="88" t="n">
        <f aca="false">G22*H22</f>
        <v>0</v>
      </c>
      <c r="BK22" s="87" t="s">
        <v>159</v>
      </c>
      <c r="BL22" s="88" t="n">
        <v>18</v>
      </c>
      <c r="BW22" s="88" t="n">
        <v>21</v>
      </c>
      <c r="BX22" s="9" t="s">
        <v>392</v>
      </c>
    </row>
    <row r="23" customFormat="false" ht="15" hidden="false" customHeight="true" outlineLevel="0" collapsed="false">
      <c r="A23" s="134" t="s">
        <v>186</v>
      </c>
      <c r="B23" s="134" t="s">
        <v>109</v>
      </c>
      <c r="C23" s="134" t="s">
        <v>394</v>
      </c>
      <c r="D23" s="135" t="s">
        <v>395</v>
      </c>
      <c r="E23" s="135"/>
      <c r="F23" s="134" t="s">
        <v>202</v>
      </c>
      <c r="G23" s="136" t="n">
        <f aca="false">'Stavební rozpočet'!G94</f>
        <v>193</v>
      </c>
      <c r="H23" s="137" t="n">
        <f aca="false">'Stavební rozpočet'!H94</f>
        <v>0</v>
      </c>
      <c r="I23" s="137" t="n">
        <f aca="false">ROUND(G23*AO23,2)</f>
        <v>0</v>
      </c>
      <c r="J23" s="137" t="n">
        <f aca="false">ROUND(G23*AP23,2)</f>
        <v>0</v>
      </c>
      <c r="K23" s="137" t="n">
        <f aca="false">ROUND(G23*H23,2)</f>
        <v>0</v>
      </c>
      <c r="L23" s="137" t="n">
        <f aca="false">'Stavební rozpočet'!L94</f>
        <v>0</v>
      </c>
      <c r="M23" s="137" t="n">
        <f aca="false">G23*L23</f>
        <v>0</v>
      </c>
      <c r="N23" s="138" t="s">
        <v>155</v>
      </c>
      <c r="Z23" s="88" t="n">
        <f aca="false">ROUND(IF(AQ23="5",BJ23,0),2)</f>
        <v>0</v>
      </c>
      <c r="AB23" s="88" t="n">
        <f aca="false">ROUND(IF(AQ23="1",BH23,0),2)</f>
        <v>0</v>
      </c>
      <c r="AC23" s="88" t="n">
        <f aca="false">ROUND(IF(AQ23="1",BI23,0),2)</f>
        <v>0</v>
      </c>
      <c r="AD23" s="88" t="n">
        <f aca="false">ROUND(IF(AQ23="7",BH23,0),2)</f>
        <v>0</v>
      </c>
      <c r="AE23" s="88" t="n">
        <f aca="false">ROUND(IF(AQ23="7",BI23,0),2)</f>
        <v>0</v>
      </c>
      <c r="AF23" s="88" t="n">
        <f aca="false">ROUND(IF(AQ23="2",BH23,0),2)</f>
        <v>0</v>
      </c>
      <c r="AG23" s="88" t="n">
        <f aca="false">ROUND(IF(AQ23="2",BI23,0),2)</f>
        <v>0</v>
      </c>
      <c r="AH23" s="88" t="n">
        <f aca="false">ROUND(IF(AQ23="0",BJ23,0),2)</f>
        <v>0</v>
      </c>
      <c r="AI23" s="116" t="s">
        <v>109</v>
      </c>
      <c r="AJ23" s="88" t="n">
        <f aca="false">IF(AN23=0,K23,0)</f>
        <v>0</v>
      </c>
      <c r="AK23" s="88" t="n">
        <f aca="false">IF(AN23=12,K23,0)</f>
        <v>0</v>
      </c>
      <c r="AL23" s="88" t="n">
        <f aca="false">IF(AN23=21,K23,0)</f>
        <v>0</v>
      </c>
      <c r="AN23" s="88" t="n">
        <v>21</v>
      </c>
      <c r="AO23" s="88" t="n">
        <f aca="false">H23*0</f>
        <v>0</v>
      </c>
      <c r="AP23" s="88" t="n">
        <f aca="false">H23*(1-0)</f>
        <v>0</v>
      </c>
      <c r="AQ23" s="87" t="s">
        <v>151</v>
      </c>
      <c r="AV23" s="88" t="n">
        <f aca="false">ROUND(AW23+AX23,2)</f>
        <v>0</v>
      </c>
      <c r="AW23" s="88" t="n">
        <f aca="false">ROUND(G23*AO23,2)</f>
        <v>0</v>
      </c>
      <c r="AX23" s="88" t="n">
        <f aca="false">ROUND(G23*AP23,2)</f>
        <v>0</v>
      </c>
      <c r="AY23" s="87" t="s">
        <v>389</v>
      </c>
      <c r="AZ23" s="87" t="s">
        <v>367</v>
      </c>
      <c r="BA23" s="116" t="s">
        <v>368</v>
      </c>
      <c r="BC23" s="88" t="n">
        <f aca="false">AW23+AX23</f>
        <v>0</v>
      </c>
      <c r="BD23" s="88" t="n">
        <f aca="false">H23/(100-BE23)*100</f>
        <v>0</v>
      </c>
      <c r="BE23" s="88" t="n">
        <v>0</v>
      </c>
      <c r="BF23" s="88" t="n">
        <f aca="false">M23</f>
        <v>0</v>
      </c>
      <c r="BH23" s="88" t="n">
        <f aca="false">G23*AO23</f>
        <v>0</v>
      </c>
      <c r="BI23" s="88" t="n">
        <f aca="false">G23*AP23</f>
        <v>0</v>
      </c>
      <c r="BJ23" s="88" t="n">
        <f aca="false">G23*H23</f>
        <v>0</v>
      </c>
      <c r="BK23" s="87" t="s">
        <v>159</v>
      </c>
      <c r="BL23" s="88" t="n">
        <v>18</v>
      </c>
      <c r="BW23" s="88" t="n">
        <v>21</v>
      </c>
      <c r="BX23" s="9" t="s">
        <v>395</v>
      </c>
    </row>
    <row r="24" customFormat="false" ht="24.05" hidden="false" customHeight="true" outlineLevel="0" collapsed="false">
      <c r="A24" s="139" t="s">
        <v>192</v>
      </c>
      <c r="B24" s="139" t="s">
        <v>109</v>
      </c>
      <c r="C24" s="139" t="s">
        <v>397</v>
      </c>
      <c r="D24" s="140" t="s">
        <v>398</v>
      </c>
      <c r="E24" s="140"/>
      <c r="F24" s="139" t="s">
        <v>202</v>
      </c>
      <c r="G24" s="141" t="n">
        <f aca="false">'Stavební rozpočet'!G95</f>
        <v>1.93</v>
      </c>
      <c r="H24" s="142" t="n">
        <f aca="false">'Stavební rozpočet'!H95</f>
        <v>0</v>
      </c>
      <c r="I24" s="142" t="n">
        <f aca="false">ROUND(G24*AO24,2)</f>
        <v>0</v>
      </c>
      <c r="J24" s="142" t="n">
        <f aca="false">ROUND(G24*AP24,2)</f>
        <v>0</v>
      </c>
      <c r="K24" s="142" t="n">
        <f aca="false">ROUND(G24*H24,2)</f>
        <v>0</v>
      </c>
      <c r="L24" s="142" t="n">
        <f aca="false">'Stavební rozpočet'!L95</f>
        <v>0.001</v>
      </c>
      <c r="M24" s="142" t="n">
        <f aca="false">G24*L24</f>
        <v>0.00193</v>
      </c>
      <c r="N24" s="143" t="s">
        <v>155</v>
      </c>
      <c r="Z24" s="88" t="n">
        <f aca="false">ROUND(IF(AQ24="5",BJ24,0),2)</f>
        <v>0</v>
      </c>
      <c r="AB24" s="88" t="n">
        <f aca="false">ROUND(IF(AQ24="1",BH24,0),2)</f>
        <v>0</v>
      </c>
      <c r="AC24" s="88" t="n">
        <f aca="false">ROUND(IF(AQ24="1",BI24,0),2)</f>
        <v>0</v>
      </c>
      <c r="AD24" s="88" t="n">
        <f aca="false">ROUND(IF(AQ24="7",BH24,0),2)</f>
        <v>0</v>
      </c>
      <c r="AE24" s="88" t="n">
        <f aca="false">ROUND(IF(AQ24="7",BI24,0),2)</f>
        <v>0</v>
      </c>
      <c r="AF24" s="88" t="n">
        <f aca="false">ROUND(IF(AQ24="2",BH24,0),2)</f>
        <v>0</v>
      </c>
      <c r="AG24" s="88" t="n">
        <f aca="false">ROUND(IF(AQ24="2",BI24,0),2)</f>
        <v>0</v>
      </c>
      <c r="AH24" s="88" t="n">
        <f aca="false">ROUND(IF(AQ24="0",BJ24,0),2)</f>
        <v>0</v>
      </c>
      <c r="AI24" s="116" t="s">
        <v>109</v>
      </c>
      <c r="AJ24" s="144" t="n">
        <f aca="false">IF(AN24=0,K24,0)</f>
        <v>0</v>
      </c>
      <c r="AK24" s="144" t="n">
        <f aca="false">IF(AN24=12,K24,0)</f>
        <v>0</v>
      </c>
      <c r="AL24" s="144" t="n">
        <f aca="false">IF(AN24=21,K24,0)</f>
        <v>0</v>
      </c>
      <c r="AN24" s="88" t="n">
        <v>21</v>
      </c>
      <c r="AO24" s="88" t="n">
        <f aca="false">H24*1</f>
        <v>0</v>
      </c>
      <c r="AP24" s="88" t="n">
        <f aca="false">H24*(1-1)</f>
        <v>0</v>
      </c>
      <c r="AQ24" s="145" t="s">
        <v>151</v>
      </c>
      <c r="AV24" s="88" t="n">
        <f aca="false">ROUND(AW24+AX24,2)</f>
        <v>0</v>
      </c>
      <c r="AW24" s="88" t="n">
        <f aca="false">ROUND(G24*AO24,2)</f>
        <v>0</v>
      </c>
      <c r="AX24" s="88" t="n">
        <f aca="false">ROUND(G24*AP24,2)</f>
        <v>0</v>
      </c>
      <c r="AY24" s="87" t="s">
        <v>389</v>
      </c>
      <c r="AZ24" s="87" t="s">
        <v>367</v>
      </c>
      <c r="BA24" s="116" t="s">
        <v>368</v>
      </c>
      <c r="BC24" s="88" t="n">
        <f aca="false">AW24+AX24</f>
        <v>0</v>
      </c>
      <c r="BD24" s="88" t="n">
        <f aca="false">H24/(100-BE24)*100</f>
        <v>0</v>
      </c>
      <c r="BE24" s="88" t="n">
        <v>0</v>
      </c>
      <c r="BF24" s="88" t="n">
        <f aca="false">M24</f>
        <v>0.00193</v>
      </c>
      <c r="BH24" s="144" t="n">
        <f aca="false">G24*AO24</f>
        <v>0</v>
      </c>
      <c r="BI24" s="144" t="n">
        <f aca="false">G24*AP24</f>
        <v>0</v>
      </c>
      <c r="BJ24" s="144" t="n">
        <f aca="false">G24*H24</f>
        <v>0</v>
      </c>
      <c r="BK24" s="145" t="s">
        <v>180</v>
      </c>
      <c r="BL24" s="88" t="n">
        <v>18</v>
      </c>
      <c r="BW24" s="88" t="n">
        <v>21</v>
      </c>
      <c r="BX24" s="146" t="s">
        <v>398</v>
      </c>
    </row>
    <row r="25" customFormat="false" ht="15" hidden="false" customHeight="true" outlineLevel="0" collapsed="false">
      <c r="A25" s="134" t="s">
        <v>149</v>
      </c>
      <c r="B25" s="134" t="s">
        <v>109</v>
      </c>
      <c r="C25" s="134" t="s">
        <v>400</v>
      </c>
      <c r="D25" s="135" t="s">
        <v>401</v>
      </c>
      <c r="E25" s="135"/>
      <c r="F25" s="134" t="s">
        <v>169</v>
      </c>
      <c r="G25" s="136" t="n">
        <f aca="false">'Stavební rozpočet'!G96</f>
        <v>33.7</v>
      </c>
      <c r="H25" s="137" t="n">
        <f aca="false">'Stavební rozpočet'!H96</f>
        <v>0</v>
      </c>
      <c r="I25" s="137" t="n">
        <f aca="false">ROUND(G25*AO25,2)</f>
        <v>0</v>
      </c>
      <c r="J25" s="137" t="n">
        <f aca="false">ROUND(G25*AP25,2)</f>
        <v>0</v>
      </c>
      <c r="K25" s="137" t="n">
        <f aca="false">ROUND(G25*H25,2)</f>
        <v>0</v>
      </c>
      <c r="L25" s="137" t="n">
        <f aca="false">'Stavební rozpočet'!L96</f>
        <v>0</v>
      </c>
      <c r="M25" s="137" t="n">
        <f aca="false">G25*L25</f>
        <v>0</v>
      </c>
      <c r="N25" s="138" t="s">
        <v>155</v>
      </c>
      <c r="Z25" s="88" t="n">
        <f aca="false">ROUND(IF(AQ25="5",BJ25,0),2)</f>
        <v>0</v>
      </c>
      <c r="AB25" s="88" t="n">
        <f aca="false">ROUND(IF(AQ25="1",BH25,0),2)</f>
        <v>0</v>
      </c>
      <c r="AC25" s="88" t="n">
        <f aca="false">ROUND(IF(AQ25="1",BI25,0),2)</f>
        <v>0</v>
      </c>
      <c r="AD25" s="88" t="n">
        <f aca="false">ROUND(IF(AQ25="7",BH25,0),2)</f>
        <v>0</v>
      </c>
      <c r="AE25" s="88" t="n">
        <f aca="false">ROUND(IF(AQ25="7",BI25,0),2)</f>
        <v>0</v>
      </c>
      <c r="AF25" s="88" t="n">
        <f aca="false">ROUND(IF(AQ25="2",BH25,0),2)</f>
        <v>0</v>
      </c>
      <c r="AG25" s="88" t="n">
        <f aca="false">ROUND(IF(AQ25="2",BI25,0),2)</f>
        <v>0</v>
      </c>
      <c r="AH25" s="88" t="n">
        <f aca="false">ROUND(IF(AQ25="0",BJ25,0),2)</f>
        <v>0</v>
      </c>
      <c r="AI25" s="116" t="s">
        <v>109</v>
      </c>
      <c r="AJ25" s="88" t="n">
        <f aca="false">IF(AN25=0,K25,0)</f>
        <v>0</v>
      </c>
      <c r="AK25" s="88" t="n">
        <f aca="false">IF(AN25=12,K25,0)</f>
        <v>0</v>
      </c>
      <c r="AL25" s="88" t="n">
        <f aca="false">IF(AN25=21,K25,0)</f>
        <v>0</v>
      </c>
      <c r="AN25" s="88" t="n">
        <v>21</v>
      </c>
      <c r="AO25" s="88" t="n">
        <f aca="false">H25*0</f>
        <v>0</v>
      </c>
      <c r="AP25" s="88" t="n">
        <f aca="false">H25*(1-0)</f>
        <v>0</v>
      </c>
      <c r="AQ25" s="87" t="s">
        <v>151</v>
      </c>
      <c r="AV25" s="88" t="n">
        <f aca="false">ROUND(AW25+AX25,2)</f>
        <v>0</v>
      </c>
      <c r="AW25" s="88" t="n">
        <f aca="false">ROUND(G25*AO25,2)</f>
        <v>0</v>
      </c>
      <c r="AX25" s="88" t="n">
        <f aca="false">ROUND(G25*AP25,2)</f>
        <v>0</v>
      </c>
      <c r="AY25" s="87" t="s">
        <v>389</v>
      </c>
      <c r="AZ25" s="87" t="s">
        <v>367</v>
      </c>
      <c r="BA25" s="116" t="s">
        <v>368</v>
      </c>
      <c r="BC25" s="88" t="n">
        <f aca="false">AW25+AX25</f>
        <v>0</v>
      </c>
      <c r="BD25" s="88" t="n">
        <f aca="false">H25/(100-BE25)*100</f>
        <v>0</v>
      </c>
      <c r="BE25" s="88" t="n">
        <v>0</v>
      </c>
      <c r="BF25" s="88" t="n">
        <f aca="false">M25</f>
        <v>0</v>
      </c>
      <c r="BH25" s="88" t="n">
        <f aca="false">G25*AO25</f>
        <v>0</v>
      </c>
      <c r="BI25" s="88" t="n">
        <f aca="false">G25*AP25</f>
        <v>0</v>
      </c>
      <c r="BJ25" s="88" t="n">
        <f aca="false">G25*H25</f>
        <v>0</v>
      </c>
      <c r="BK25" s="87" t="s">
        <v>159</v>
      </c>
      <c r="BL25" s="88" t="n">
        <v>18</v>
      </c>
      <c r="BW25" s="88" t="n">
        <v>21</v>
      </c>
      <c r="BX25" s="9" t="s">
        <v>401</v>
      </c>
    </row>
    <row r="26" customFormat="false" ht="24.05" hidden="false" customHeight="true" outlineLevel="0" collapsed="false">
      <c r="A26" s="139" t="s">
        <v>199</v>
      </c>
      <c r="B26" s="139" t="s">
        <v>109</v>
      </c>
      <c r="C26" s="139" t="s">
        <v>356</v>
      </c>
      <c r="D26" s="140" t="s">
        <v>403</v>
      </c>
      <c r="E26" s="140"/>
      <c r="F26" s="139" t="s">
        <v>179</v>
      </c>
      <c r="G26" s="141" t="n">
        <f aca="false">'Stavební rozpočet'!G97</f>
        <v>4.671</v>
      </c>
      <c r="H26" s="142" t="n">
        <f aca="false">'Stavební rozpočet'!H97</f>
        <v>0</v>
      </c>
      <c r="I26" s="142" t="n">
        <f aca="false">ROUND(G26*AO26,2)</f>
        <v>0</v>
      </c>
      <c r="J26" s="142" t="n">
        <f aca="false">ROUND(G26*AP26,2)</f>
        <v>0</v>
      </c>
      <c r="K26" s="142" t="n">
        <f aca="false">ROUND(G26*H26,2)</f>
        <v>0</v>
      </c>
      <c r="L26" s="142" t="n">
        <f aca="false">'Stavební rozpočet'!L97</f>
        <v>1</v>
      </c>
      <c r="M26" s="142" t="n">
        <f aca="false">G26*L26</f>
        <v>4.671</v>
      </c>
      <c r="N26" s="143" t="s">
        <v>155</v>
      </c>
      <c r="Z26" s="88" t="n">
        <f aca="false">ROUND(IF(AQ26="5",BJ26,0),2)</f>
        <v>0</v>
      </c>
      <c r="AB26" s="88" t="n">
        <f aca="false">ROUND(IF(AQ26="1",BH26,0),2)</f>
        <v>0</v>
      </c>
      <c r="AC26" s="88" t="n">
        <f aca="false">ROUND(IF(AQ26="1",BI26,0),2)</f>
        <v>0</v>
      </c>
      <c r="AD26" s="88" t="n">
        <f aca="false">ROUND(IF(AQ26="7",BH26,0),2)</f>
        <v>0</v>
      </c>
      <c r="AE26" s="88" t="n">
        <f aca="false">ROUND(IF(AQ26="7",BI26,0),2)</f>
        <v>0</v>
      </c>
      <c r="AF26" s="88" t="n">
        <f aca="false">ROUND(IF(AQ26="2",BH26,0),2)</f>
        <v>0</v>
      </c>
      <c r="AG26" s="88" t="n">
        <f aca="false">ROUND(IF(AQ26="2",BI26,0),2)</f>
        <v>0</v>
      </c>
      <c r="AH26" s="88" t="n">
        <f aca="false">ROUND(IF(AQ26="0",BJ26,0),2)</f>
        <v>0</v>
      </c>
      <c r="AI26" s="116" t="s">
        <v>109</v>
      </c>
      <c r="AJ26" s="144" t="n">
        <f aca="false">IF(AN26=0,K26,0)</f>
        <v>0</v>
      </c>
      <c r="AK26" s="144" t="n">
        <f aca="false">IF(AN26=12,K26,0)</f>
        <v>0</v>
      </c>
      <c r="AL26" s="144" t="n">
        <f aca="false">IF(AN26=21,K26,0)</f>
        <v>0</v>
      </c>
      <c r="AN26" s="88" t="n">
        <v>21</v>
      </c>
      <c r="AO26" s="88" t="n">
        <f aca="false">H26*1</f>
        <v>0</v>
      </c>
      <c r="AP26" s="88" t="n">
        <f aca="false">H26*(1-1)</f>
        <v>0</v>
      </c>
      <c r="AQ26" s="145" t="s">
        <v>151</v>
      </c>
      <c r="AV26" s="88" t="n">
        <f aca="false">ROUND(AW26+AX26,2)</f>
        <v>0</v>
      </c>
      <c r="AW26" s="88" t="n">
        <f aca="false">ROUND(G26*AO26,2)</f>
        <v>0</v>
      </c>
      <c r="AX26" s="88" t="n">
        <f aca="false">ROUND(G26*AP26,2)</f>
        <v>0</v>
      </c>
      <c r="AY26" s="87" t="s">
        <v>389</v>
      </c>
      <c r="AZ26" s="87" t="s">
        <v>367</v>
      </c>
      <c r="BA26" s="116" t="s">
        <v>368</v>
      </c>
      <c r="BC26" s="88" t="n">
        <f aca="false">AW26+AX26</f>
        <v>0</v>
      </c>
      <c r="BD26" s="88" t="n">
        <f aca="false">H26/(100-BE26)*100</f>
        <v>0</v>
      </c>
      <c r="BE26" s="88" t="n">
        <v>0</v>
      </c>
      <c r="BF26" s="88" t="n">
        <f aca="false">M26</f>
        <v>4.671</v>
      </c>
      <c r="BH26" s="144" t="n">
        <f aca="false">G26*AO26</f>
        <v>0</v>
      </c>
      <c r="BI26" s="144" t="n">
        <f aca="false">G26*AP26</f>
        <v>0</v>
      </c>
      <c r="BJ26" s="144" t="n">
        <f aca="false">G26*H26</f>
        <v>0</v>
      </c>
      <c r="BK26" s="145" t="s">
        <v>180</v>
      </c>
      <c r="BL26" s="88" t="n">
        <v>18</v>
      </c>
      <c r="BW26" s="88" t="n">
        <v>21</v>
      </c>
      <c r="BX26" s="146" t="s">
        <v>403</v>
      </c>
    </row>
    <row r="27" customFormat="false" ht="24.05" hidden="false" customHeight="true" outlineLevel="0" collapsed="false">
      <c r="A27" s="134" t="s">
        <v>206</v>
      </c>
      <c r="B27" s="134" t="s">
        <v>109</v>
      </c>
      <c r="C27" s="134" t="s">
        <v>380</v>
      </c>
      <c r="D27" s="135" t="s">
        <v>405</v>
      </c>
      <c r="E27" s="135"/>
      <c r="F27" s="134" t="s">
        <v>169</v>
      </c>
      <c r="G27" s="136" t="n">
        <f aca="false">'Stavební rozpočet'!G98</f>
        <v>33.7</v>
      </c>
      <c r="H27" s="137" t="n">
        <f aca="false">'Stavební rozpočet'!H98</f>
        <v>0</v>
      </c>
      <c r="I27" s="137" t="n">
        <f aca="false">ROUND(G27*AO27,2)</f>
        <v>0</v>
      </c>
      <c r="J27" s="137" t="n">
        <f aca="false">ROUND(G27*AP27,2)</f>
        <v>0</v>
      </c>
      <c r="K27" s="137" t="n">
        <f aca="false">ROUND(G27*H27,2)</f>
        <v>0</v>
      </c>
      <c r="L27" s="137" t="n">
        <f aca="false">'Stavební rozpočet'!L98</f>
        <v>0</v>
      </c>
      <c r="M27" s="137" t="n">
        <f aca="false">G27*L27</f>
        <v>0</v>
      </c>
      <c r="N27" s="138" t="s">
        <v>155</v>
      </c>
      <c r="Z27" s="88" t="n">
        <f aca="false">ROUND(IF(AQ27="5",BJ27,0),2)</f>
        <v>0</v>
      </c>
      <c r="AB27" s="88" t="n">
        <f aca="false">ROUND(IF(AQ27="1",BH27,0),2)</f>
        <v>0</v>
      </c>
      <c r="AC27" s="88" t="n">
        <f aca="false">ROUND(IF(AQ27="1",BI27,0),2)</f>
        <v>0</v>
      </c>
      <c r="AD27" s="88" t="n">
        <f aca="false">ROUND(IF(AQ27="7",BH27,0),2)</f>
        <v>0</v>
      </c>
      <c r="AE27" s="88" t="n">
        <f aca="false">ROUND(IF(AQ27="7",BI27,0),2)</f>
        <v>0</v>
      </c>
      <c r="AF27" s="88" t="n">
        <f aca="false">ROUND(IF(AQ27="2",BH27,0),2)</f>
        <v>0</v>
      </c>
      <c r="AG27" s="88" t="n">
        <f aca="false">ROUND(IF(AQ27="2",BI27,0),2)</f>
        <v>0</v>
      </c>
      <c r="AH27" s="88" t="n">
        <f aca="false">ROUND(IF(AQ27="0",BJ27,0),2)</f>
        <v>0</v>
      </c>
      <c r="AI27" s="116" t="s">
        <v>109</v>
      </c>
      <c r="AJ27" s="88" t="n">
        <f aca="false">IF(AN27=0,K27,0)</f>
        <v>0</v>
      </c>
      <c r="AK27" s="88" t="n">
        <f aca="false">IF(AN27=12,K27,0)</f>
        <v>0</v>
      </c>
      <c r="AL27" s="88" t="n">
        <f aca="false">IF(AN27=21,K27,0)</f>
        <v>0</v>
      </c>
      <c r="AN27" s="88" t="n">
        <v>21</v>
      </c>
      <c r="AO27" s="88" t="n">
        <f aca="false">H27*0</f>
        <v>0</v>
      </c>
      <c r="AP27" s="88" t="n">
        <f aca="false">H27*(1-0)</f>
        <v>0</v>
      </c>
      <c r="AQ27" s="87" t="s">
        <v>151</v>
      </c>
      <c r="AV27" s="88" t="n">
        <f aca="false">ROUND(AW27+AX27,2)</f>
        <v>0</v>
      </c>
      <c r="AW27" s="88" t="n">
        <f aca="false">ROUND(G27*AO27,2)</f>
        <v>0</v>
      </c>
      <c r="AX27" s="88" t="n">
        <f aca="false">ROUND(G27*AP27,2)</f>
        <v>0</v>
      </c>
      <c r="AY27" s="87" t="s">
        <v>389</v>
      </c>
      <c r="AZ27" s="87" t="s">
        <v>367</v>
      </c>
      <c r="BA27" s="116" t="s">
        <v>368</v>
      </c>
      <c r="BC27" s="88" t="n">
        <f aca="false">AW27+AX27</f>
        <v>0</v>
      </c>
      <c r="BD27" s="88" t="n">
        <f aca="false">H27/(100-BE27)*100</f>
        <v>0</v>
      </c>
      <c r="BE27" s="88" t="n">
        <v>0</v>
      </c>
      <c r="BF27" s="88" t="n">
        <f aca="false">M27</f>
        <v>0</v>
      </c>
      <c r="BH27" s="88" t="n">
        <f aca="false">G27*AO27</f>
        <v>0</v>
      </c>
      <c r="BI27" s="88" t="n">
        <f aca="false">G27*AP27</f>
        <v>0</v>
      </c>
      <c r="BJ27" s="88" t="n">
        <f aca="false">G27*H27</f>
        <v>0</v>
      </c>
      <c r="BK27" s="87" t="s">
        <v>159</v>
      </c>
      <c r="BL27" s="88" t="n">
        <v>18</v>
      </c>
      <c r="BW27" s="88" t="n">
        <v>21</v>
      </c>
      <c r="BX27" s="9" t="s">
        <v>405</v>
      </c>
    </row>
    <row r="28" customFormat="false" ht="15" hidden="false" customHeight="true" outlineLevel="0" collapsed="false">
      <c r="A28" s="134" t="s">
        <v>210</v>
      </c>
      <c r="B28" s="134" t="s">
        <v>109</v>
      </c>
      <c r="C28" s="134" t="s">
        <v>407</v>
      </c>
      <c r="D28" s="135" t="s">
        <v>408</v>
      </c>
      <c r="E28" s="135"/>
      <c r="F28" s="134" t="s">
        <v>169</v>
      </c>
      <c r="G28" s="136" t="n">
        <f aca="false">'Stavební rozpočet'!G99</f>
        <v>33.7</v>
      </c>
      <c r="H28" s="137" t="n">
        <f aca="false">'Stavební rozpočet'!H99</f>
        <v>0</v>
      </c>
      <c r="I28" s="137" t="n">
        <f aca="false">ROUND(G28*AO28,2)</f>
        <v>0</v>
      </c>
      <c r="J28" s="137" t="n">
        <f aca="false">ROUND(G28*AP28,2)</f>
        <v>0</v>
      </c>
      <c r="K28" s="137" t="n">
        <f aca="false">ROUND(G28*H28,2)</f>
        <v>0</v>
      </c>
      <c r="L28" s="137" t="n">
        <f aca="false">'Stavební rozpočet'!L99</f>
        <v>0</v>
      </c>
      <c r="M28" s="137" t="n">
        <f aca="false">G28*L28</f>
        <v>0</v>
      </c>
      <c r="N28" s="138" t="s">
        <v>155</v>
      </c>
      <c r="Z28" s="88" t="n">
        <f aca="false">ROUND(IF(AQ28="5",BJ28,0),2)</f>
        <v>0</v>
      </c>
      <c r="AB28" s="88" t="n">
        <f aca="false">ROUND(IF(AQ28="1",BH28,0),2)</f>
        <v>0</v>
      </c>
      <c r="AC28" s="88" t="n">
        <f aca="false">ROUND(IF(AQ28="1",BI28,0),2)</f>
        <v>0</v>
      </c>
      <c r="AD28" s="88" t="n">
        <f aca="false">ROUND(IF(AQ28="7",BH28,0),2)</f>
        <v>0</v>
      </c>
      <c r="AE28" s="88" t="n">
        <f aca="false">ROUND(IF(AQ28="7",BI28,0),2)</f>
        <v>0</v>
      </c>
      <c r="AF28" s="88" t="n">
        <f aca="false">ROUND(IF(AQ28="2",BH28,0),2)</f>
        <v>0</v>
      </c>
      <c r="AG28" s="88" t="n">
        <f aca="false">ROUND(IF(AQ28="2",BI28,0),2)</f>
        <v>0</v>
      </c>
      <c r="AH28" s="88" t="n">
        <f aca="false">ROUND(IF(AQ28="0",BJ28,0),2)</f>
        <v>0</v>
      </c>
      <c r="AI28" s="116" t="s">
        <v>109</v>
      </c>
      <c r="AJ28" s="88" t="n">
        <f aca="false">IF(AN28=0,K28,0)</f>
        <v>0</v>
      </c>
      <c r="AK28" s="88" t="n">
        <f aca="false">IF(AN28=12,K28,0)</f>
        <v>0</v>
      </c>
      <c r="AL28" s="88" t="n">
        <f aca="false">IF(AN28=21,K28,0)</f>
        <v>0</v>
      </c>
      <c r="AN28" s="88" t="n">
        <v>21</v>
      </c>
      <c r="AO28" s="88" t="n">
        <f aca="false">H28*0</f>
        <v>0</v>
      </c>
      <c r="AP28" s="88" t="n">
        <f aca="false">H28*(1-0)</f>
        <v>0</v>
      </c>
      <c r="AQ28" s="87" t="s">
        <v>151</v>
      </c>
      <c r="AV28" s="88" t="n">
        <f aca="false">ROUND(AW28+AX28,2)</f>
        <v>0</v>
      </c>
      <c r="AW28" s="88" t="n">
        <f aca="false">ROUND(G28*AO28,2)</f>
        <v>0</v>
      </c>
      <c r="AX28" s="88" t="n">
        <f aca="false">ROUND(G28*AP28,2)</f>
        <v>0</v>
      </c>
      <c r="AY28" s="87" t="s">
        <v>389</v>
      </c>
      <c r="AZ28" s="87" t="s">
        <v>367</v>
      </c>
      <c r="BA28" s="116" t="s">
        <v>368</v>
      </c>
      <c r="BC28" s="88" t="n">
        <f aca="false">AW28+AX28</f>
        <v>0</v>
      </c>
      <c r="BD28" s="88" t="n">
        <f aca="false">H28/(100-BE28)*100</f>
        <v>0</v>
      </c>
      <c r="BE28" s="88" t="n">
        <v>0</v>
      </c>
      <c r="BF28" s="88" t="n">
        <f aca="false">M28</f>
        <v>0</v>
      </c>
      <c r="BH28" s="88" t="n">
        <f aca="false">G28*AO28</f>
        <v>0</v>
      </c>
      <c r="BI28" s="88" t="n">
        <f aca="false">G28*AP28</f>
        <v>0</v>
      </c>
      <c r="BJ28" s="88" t="n">
        <f aca="false">G28*H28</f>
        <v>0</v>
      </c>
      <c r="BK28" s="87" t="s">
        <v>159</v>
      </c>
      <c r="BL28" s="88" t="n">
        <v>18</v>
      </c>
      <c r="BW28" s="88" t="n">
        <v>21</v>
      </c>
      <c r="BX28" s="9" t="s">
        <v>408</v>
      </c>
    </row>
    <row r="29" customFormat="false" ht="15" hidden="false" customHeight="true" outlineLevel="0" collapsed="false">
      <c r="A29" s="134" t="s">
        <v>213</v>
      </c>
      <c r="B29" s="134" t="s">
        <v>109</v>
      </c>
      <c r="C29" s="134" t="s">
        <v>410</v>
      </c>
      <c r="D29" s="135" t="s">
        <v>411</v>
      </c>
      <c r="E29" s="135"/>
      <c r="F29" s="134" t="s">
        <v>189</v>
      </c>
      <c r="G29" s="136" t="n">
        <f aca="false">'Stavební rozpočet'!G100</f>
        <v>0.674</v>
      </c>
      <c r="H29" s="137" t="n">
        <f aca="false">'Stavební rozpočet'!H100</f>
        <v>0</v>
      </c>
      <c r="I29" s="137" t="n">
        <f aca="false">ROUND(G29*AO29,2)</f>
        <v>0</v>
      </c>
      <c r="J29" s="137" t="n">
        <f aca="false">ROUND(G29*AP29,2)</f>
        <v>0</v>
      </c>
      <c r="K29" s="137" t="n">
        <f aca="false">ROUND(G29*H29,2)</f>
        <v>0</v>
      </c>
      <c r="L29" s="137" t="n">
        <f aca="false">'Stavební rozpočet'!L100</f>
        <v>0</v>
      </c>
      <c r="M29" s="137" t="n">
        <f aca="false">G29*L29</f>
        <v>0</v>
      </c>
      <c r="N29" s="138" t="s">
        <v>155</v>
      </c>
      <c r="Z29" s="88" t="n">
        <f aca="false">ROUND(IF(AQ29="5",BJ29,0),2)</f>
        <v>0</v>
      </c>
      <c r="AB29" s="88" t="n">
        <f aca="false">ROUND(IF(AQ29="1",BH29,0),2)</f>
        <v>0</v>
      </c>
      <c r="AC29" s="88" t="n">
        <f aca="false">ROUND(IF(AQ29="1",BI29,0),2)</f>
        <v>0</v>
      </c>
      <c r="AD29" s="88" t="n">
        <f aca="false">ROUND(IF(AQ29="7",BH29,0),2)</f>
        <v>0</v>
      </c>
      <c r="AE29" s="88" t="n">
        <f aca="false">ROUND(IF(AQ29="7",BI29,0),2)</f>
        <v>0</v>
      </c>
      <c r="AF29" s="88" t="n">
        <f aca="false">ROUND(IF(AQ29="2",BH29,0),2)</f>
        <v>0</v>
      </c>
      <c r="AG29" s="88" t="n">
        <f aca="false">ROUND(IF(AQ29="2",BI29,0),2)</f>
        <v>0</v>
      </c>
      <c r="AH29" s="88" t="n">
        <f aca="false">ROUND(IF(AQ29="0",BJ29,0),2)</f>
        <v>0</v>
      </c>
      <c r="AI29" s="116" t="s">
        <v>109</v>
      </c>
      <c r="AJ29" s="88" t="n">
        <f aca="false">IF(AN29=0,K29,0)</f>
        <v>0</v>
      </c>
      <c r="AK29" s="88" t="n">
        <f aca="false">IF(AN29=12,K29,0)</f>
        <v>0</v>
      </c>
      <c r="AL29" s="88" t="n">
        <f aca="false">IF(AN29=21,K29,0)</f>
        <v>0</v>
      </c>
      <c r="AN29" s="88" t="n">
        <v>21</v>
      </c>
      <c r="AO29" s="88" t="n">
        <f aca="false">H29*0.292816891</f>
        <v>0</v>
      </c>
      <c r="AP29" s="88" t="n">
        <f aca="false">H29*(1-0.292816891)</f>
        <v>0</v>
      </c>
      <c r="AQ29" s="87" t="s">
        <v>151</v>
      </c>
      <c r="AV29" s="88" t="n">
        <f aca="false">ROUND(AW29+AX29,2)</f>
        <v>0</v>
      </c>
      <c r="AW29" s="88" t="n">
        <f aca="false">ROUND(G29*AO29,2)</f>
        <v>0</v>
      </c>
      <c r="AX29" s="88" t="n">
        <f aca="false">ROUND(G29*AP29,2)</f>
        <v>0</v>
      </c>
      <c r="AY29" s="87" t="s">
        <v>389</v>
      </c>
      <c r="AZ29" s="87" t="s">
        <v>367</v>
      </c>
      <c r="BA29" s="116" t="s">
        <v>368</v>
      </c>
      <c r="BC29" s="88" t="n">
        <f aca="false">AW29+AX29</f>
        <v>0</v>
      </c>
      <c r="BD29" s="88" t="n">
        <f aca="false">H29/(100-BE29)*100</f>
        <v>0</v>
      </c>
      <c r="BE29" s="88" t="n">
        <v>0</v>
      </c>
      <c r="BF29" s="88" t="n">
        <f aca="false">M29</f>
        <v>0</v>
      </c>
      <c r="BH29" s="88" t="n">
        <f aca="false">G29*AO29</f>
        <v>0</v>
      </c>
      <c r="BI29" s="88" t="n">
        <f aca="false">G29*AP29</f>
        <v>0</v>
      </c>
      <c r="BJ29" s="88" t="n">
        <f aca="false">G29*H29</f>
        <v>0</v>
      </c>
      <c r="BK29" s="87" t="s">
        <v>159</v>
      </c>
      <c r="BL29" s="88" t="n">
        <v>18</v>
      </c>
      <c r="BW29" s="88" t="n">
        <v>21</v>
      </c>
      <c r="BX29" s="9" t="s">
        <v>411</v>
      </c>
    </row>
    <row r="30" customFormat="false" ht="15" hidden="false" customHeight="true" outlineLevel="0" collapsed="false">
      <c r="A30" s="134" t="s">
        <v>216</v>
      </c>
      <c r="B30" s="134" t="s">
        <v>109</v>
      </c>
      <c r="C30" s="134" t="s">
        <v>413</v>
      </c>
      <c r="D30" s="135" t="s">
        <v>414</v>
      </c>
      <c r="E30" s="135"/>
      <c r="F30" s="134" t="s">
        <v>189</v>
      </c>
      <c r="G30" s="136" t="n">
        <f aca="false">'Stavební rozpočet'!G101</f>
        <v>0.674</v>
      </c>
      <c r="H30" s="137" t="n">
        <f aca="false">'Stavební rozpočet'!H101</f>
        <v>0</v>
      </c>
      <c r="I30" s="137" t="n">
        <f aca="false">ROUND(G30*AO30,2)</f>
        <v>0</v>
      </c>
      <c r="J30" s="137" t="n">
        <f aca="false">ROUND(G30*AP30,2)</f>
        <v>0</v>
      </c>
      <c r="K30" s="137" t="n">
        <f aca="false">ROUND(G30*H30,2)</f>
        <v>0</v>
      </c>
      <c r="L30" s="137" t="n">
        <f aca="false">'Stavební rozpočet'!L101</f>
        <v>0</v>
      </c>
      <c r="M30" s="137" t="n">
        <f aca="false">G30*L30</f>
        <v>0</v>
      </c>
      <c r="N30" s="138" t="s">
        <v>155</v>
      </c>
      <c r="Z30" s="88" t="n">
        <f aca="false">ROUND(IF(AQ30="5",BJ30,0),2)</f>
        <v>0</v>
      </c>
      <c r="AB30" s="88" t="n">
        <f aca="false">ROUND(IF(AQ30="1",BH30,0),2)</f>
        <v>0</v>
      </c>
      <c r="AC30" s="88" t="n">
        <f aca="false">ROUND(IF(AQ30="1",BI30,0),2)</f>
        <v>0</v>
      </c>
      <c r="AD30" s="88" t="n">
        <f aca="false">ROUND(IF(AQ30="7",BH30,0),2)</f>
        <v>0</v>
      </c>
      <c r="AE30" s="88" t="n">
        <f aca="false">ROUND(IF(AQ30="7",BI30,0),2)</f>
        <v>0</v>
      </c>
      <c r="AF30" s="88" t="n">
        <f aca="false">ROUND(IF(AQ30="2",BH30,0),2)</f>
        <v>0</v>
      </c>
      <c r="AG30" s="88" t="n">
        <f aca="false">ROUND(IF(AQ30="2",BI30,0),2)</f>
        <v>0</v>
      </c>
      <c r="AH30" s="88" t="n">
        <f aca="false">ROUND(IF(AQ30="0",BJ30,0),2)</f>
        <v>0</v>
      </c>
      <c r="AI30" s="116" t="s">
        <v>109</v>
      </c>
      <c r="AJ30" s="88" t="n">
        <f aca="false">IF(AN30=0,K30,0)</f>
        <v>0</v>
      </c>
      <c r="AK30" s="88" t="n">
        <f aca="false">IF(AN30=12,K30,0)</f>
        <v>0</v>
      </c>
      <c r="AL30" s="88" t="n">
        <f aca="false">IF(AN30=21,K30,0)</f>
        <v>0</v>
      </c>
      <c r="AN30" s="88" t="n">
        <v>21</v>
      </c>
      <c r="AO30" s="88" t="n">
        <f aca="false">H30*0</f>
        <v>0</v>
      </c>
      <c r="AP30" s="88" t="n">
        <f aca="false">H30*(1-0)</f>
        <v>0</v>
      </c>
      <c r="AQ30" s="87" t="s">
        <v>151</v>
      </c>
      <c r="AV30" s="88" t="n">
        <f aca="false">ROUND(AW30+AX30,2)</f>
        <v>0</v>
      </c>
      <c r="AW30" s="88" t="n">
        <f aca="false">ROUND(G30*AO30,2)</f>
        <v>0</v>
      </c>
      <c r="AX30" s="88" t="n">
        <f aca="false">ROUND(G30*AP30,2)</f>
        <v>0</v>
      </c>
      <c r="AY30" s="87" t="s">
        <v>389</v>
      </c>
      <c r="AZ30" s="87" t="s">
        <v>367</v>
      </c>
      <c r="BA30" s="116" t="s">
        <v>368</v>
      </c>
      <c r="BC30" s="88" t="n">
        <f aca="false">AW30+AX30</f>
        <v>0</v>
      </c>
      <c r="BD30" s="88" t="n">
        <f aca="false">H30/(100-BE30)*100</f>
        <v>0</v>
      </c>
      <c r="BE30" s="88" t="n">
        <v>0</v>
      </c>
      <c r="BF30" s="88" t="n">
        <f aca="false">M30</f>
        <v>0</v>
      </c>
      <c r="BH30" s="88" t="n">
        <f aca="false">G30*AO30</f>
        <v>0</v>
      </c>
      <c r="BI30" s="88" t="n">
        <f aca="false">G30*AP30</f>
        <v>0</v>
      </c>
      <c r="BJ30" s="88" t="n">
        <f aca="false">G30*H30</f>
        <v>0</v>
      </c>
      <c r="BK30" s="87" t="s">
        <v>159</v>
      </c>
      <c r="BL30" s="88" t="n">
        <v>18</v>
      </c>
      <c r="BW30" s="88" t="n">
        <v>21</v>
      </c>
      <c r="BX30" s="9" t="s">
        <v>414</v>
      </c>
    </row>
    <row r="31" customFormat="false" ht="15" hidden="false" customHeight="true" outlineLevel="0" collapsed="false">
      <c r="A31" s="139" t="s">
        <v>219</v>
      </c>
      <c r="B31" s="139" t="s">
        <v>109</v>
      </c>
      <c r="C31" s="139" t="s">
        <v>416</v>
      </c>
      <c r="D31" s="140" t="s">
        <v>417</v>
      </c>
      <c r="E31" s="140"/>
      <c r="F31" s="139" t="s">
        <v>202</v>
      </c>
      <c r="G31" s="141" t="n">
        <f aca="false">'Stavební rozpočet'!G102</f>
        <v>17</v>
      </c>
      <c r="H31" s="142" t="n">
        <f aca="false">'Stavební rozpočet'!H102</f>
        <v>0</v>
      </c>
      <c r="I31" s="142" t="n">
        <f aca="false">ROUND(G31*AO31,2)</f>
        <v>0</v>
      </c>
      <c r="J31" s="142" t="n">
        <f aca="false">ROUND(G31*AP31,2)</f>
        <v>0</v>
      </c>
      <c r="K31" s="142" t="n">
        <f aca="false">ROUND(G31*H31,2)</f>
        <v>0</v>
      </c>
      <c r="L31" s="142" t="n">
        <f aca="false">'Stavební rozpočet'!L102</f>
        <v>0.001</v>
      </c>
      <c r="M31" s="142" t="n">
        <f aca="false">G31*L31</f>
        <v>0.017</v>
      </c>
      <c r="N31" s="143"/>
      <c r="Z31" s="88" t="n">
        <f aca="false">ROUND(IF(AQ31="5",BJ31,0),2)</f>
        <v>0</v>
      </c>
      <c r="AB31" s="88" t="n">
        <f aca="false">ROUND(IF(AQ31="1",BH31,0),2)</f>
        <v>0</v>
      </c>
      <c r="AC31" s="88" t="n">
        <f aca="false">ROUND(IF(AQ31="1",BI31,0),2)</f>
        <v>0</v>
      </c>
      <c r="AD31" s="88" t="n">
        <f aca="false">ROUND(IF(AQ31="7",BH31,0),2)</f>
        <v>0</v>
      </c>
      <c r="AE31" s="88" t="n">
        <f aca="false">ROUND(IF(AQ31="7",BI31,0),2)</f>
        <v>0</v>
      </c>
      <c r="AF31" s="88" t="n">
        <f aca="false">ROUND(IF(AQ31="2",BH31,0),2)</f>
        <v>0</v>
      </c>
      <c r="AG31" s="88" t="n">
        <f aca="false">ROUND(IF(AQ31="2",BI31,0),2)</f>
        <v>0</v>
      </c>
      <c r="AH31" s="88" t="n">
        <f aca="false">ROUND(IF(AQ31="0",BJ31,0),2)</f>
        <v>0</v>
      </c>
      <c r="AI31" s="116" t="s">
        <v>109</v>
      </c>
      <c r="AJ31" s="144" t="n">
        <f aca="false">IF(AN31=0,K31,0)</f>
        <v>0</v>
      </c>
      <c r="AK31" s="144" t="n">
        <f aca="false">IF(AN31=12,K31,0)</f>
        <v>0</v>
      </c>
      <c r="AL31" s="144" t="n">
        <f aca="false">IF(AN31=21,K31,0)</f>
        <v>0</v>
      </c>
      <c r="AN31" s="88" t="n">
        <v>21</v>
      </c>
      <c r="AO31" s="88" t="n">
        <f aca="false">H31*1</f>
        <v>0</v>
      </c>
      <c r="AP31" s="88" t="n">
        <f aca="false">H31*(1-1)</f>
        <v>0</v>
      </c>
      <c r="AQ31" s="145" t="s">
        <v>151</v>
      </c>
      <c r="AV31" s="88" t="n">
        <f aca="false">ROUND(AW31+AX31,2)</f>
        <v>0</v>
      </c>
      <c r="AW31" s="88" t="n">
        <f aca="false">ROUND(G31*AO31,2)</f>
        <v>0</v>
      </c>
      <c r="AX31" s="88" t="n">
        <f aca="false">ROUND(G31*AP31,2)</f>
        <v>0</v>
      </c>
      <c r="AY31" s="87" t="s">
        <v>389</v>
      </c>
      <c r="AZ31" s="87" t="s">
        <v>367</v>
      </c>
      <c r="BA31" s="116" t="s">
        <v>368</v>
      </c>
      <c r="BC31" s="88" t="n">
        <f aca="false">AW31+AX31</f>
        <v>0</v>
      </c>
      <c r="BD31" s="88" t="n">
        <f aca="false">H31/(100-BE31)*100</f>
        <v>0</v>
      </c>
      <c r="BE31" s="88" t="n">
        <v>0</v>
      </c>
      <c r="BF31" s="88" t="n">
        <f aca="false">M31</f>
        <v>0.017</v>
      </c>
      <c r="BH31" s="144" t="n">
        <f aca="false">G31*AO31</f>
        <v>0</v>
      </c>
      <c r="BI31" s="144" t="n">
        <f aca="false">G31*AP31</f>
        <v>0</v>
      </c>
      <c r="BJ31" s="144" t="n">
        <f aca="false">G31*H31</f>
        <v>0</v>
      </c>
      <c r="BK31" s="145" t="s">
        <v>180</v>
      </c>
      <c r="BL31" s="88" t="n">
        <v>18</v>
      </c>
      <c r="BW31" s="88" t="n">
        <v>21</v>
      </c>
      <c r="BX31" s="146" t="s">
        <v>417</v>
      </c>
    </row>
    <row r="32" customFormat="false" ht="15" hidden="false" customHeight="true" outlineLevel="0" collapsed="false">
      <c r="A32" s="139" t="s">
        <v>222</v>
      </c>
      <c r="B32" s="139" t="s">
        <v>109</v>
      </c>
      <c r="C32" s="139" t="s">
        <v>419</v>
      </c>
      <c r="D32" s="140" t="s">
        <v>420</v>
      </c>
      <c r="E32" s="140"/>
      <c r="F32" s="139" t="s">
        <v>202</v>
      </c>
      <c r="G32" s="141" t="n">
        <f aca="false">'Stavební rozpočet'!G103</f>
        <v>11</v>
      </c>
      <c r="H32" s="142" t="n">
        <f aca="false">'Stavební rozpočet'!H103</f>
        <v>0</v>
      </c>
      <c r="I32" s="142" t="n">
        <f aca="false">ROUND(G32*AO32,2)</f>
        <v>0</v>
      </c>
      <c r="J32" s="142" t="n">
        <f aca="false">ROUND(G32*AP32,2)</f>
        <v>0</v>
      </c>
      <c r="K32" s="142" t="n">
        <f aca="false">ROUND(G32*H32,2)</f>
        <v>0</v>
      </c>
      <c r="L32" s="142" t="n">
        <f aca="false">'Stavební rozpočet'!L103</f>
        <v>0.001</v>
      </c>
      <c r="M32" s="142" t="n">
        <f aca="false">G32*L32</f>
        <v>0.011</v>
      </c>
      <c r="N32" s="143"/>
      <c r="Z32" s="88" t="n">
        <f aca="false">ROUND(IF(AQ32="5",BJ32,0),2)</f>
        <v>0</v>
      </c>
      <c r="AB32" s="88" t="n">
        <f aca="false">ROUND(IF(AQ32="1",BH32,0),2)</f>
        <v>0</v>
      </c>
      <c r="AC32" s="88" t="n">
        <f aca="false">ROUND(IF(AQ32="1",BI32,0),2)</f>
        <v>0</v>
      </c>
      <c r="AD32" s="88" t="n">
        <f aca="false">ROUND(IF(AQ32="7",BH32,0),2)</f>
        <v>0</v>
      </c>
      <c r="AE32" s="88" t="n">
        <f aca="false">ROUND(IF(AQ32="7",BI32,0),2)</f>
        <v>0</v>
      </c>
      <c r="AF32" s="88" t="n">
        <f aca="false">ROUND(IF(AQ32="2",BH32,0),2)</f>
        <v>0</v>
      </c>
      <c r="AG32" s="88" t="n">
        <f aca="false">ROUND(IF(AQ32="2",BI32,0),2)</f>
        <v>0</v>
      </c>
      <c r="AH32" s="88" t="n">
        <f aca="false">ROUND(IF(AQ32="0",BJ32,0),2)</f>
        <v>0</v>
      </c>
      <c r="AI32" s="116" t="s">
        <v>109</v>
      </c>
      <c r="AJ32" s="144" t="n">
        <f aca="false">IF(AN32=0,K32,0)</f>
        <v>0</v>
      </c>
      <c r="AK32" s="144" t="n">
        <f aca="false">IF(AN32=12,K32,0)</f>
        <v>0</v>
      </c>
      <c r="AL32" s="144" t="n">
        <f aca="false">IF(AN32=21,K32,0)</f>
        <v>0</v>
      </c>
      <c r="AN32" s="88" t="n">
        <v>21</v>
      </c>
      <c r="AO32" s="88" t="n">
        <f aca="false">H32*1</f>
        <v>0</v>
      </c>
      <c r="AP32" s="88" t="n">
        <f aca="false">H32*(1-1)</f>
        <v>0</v>
      </c>
      <c r="AQ32" s="145" t="s">
        <v>151</v>
      </c>
      <c r="AV32" s="88" t="n">
        <f aca="false">ROUND(AW32+AX32,2)</f>
        <v>0</v>
      </c>
      <c r="AW32" s="88" t="n">
        <f aca="false">ROUND(G32*AO32,2)</f>
        <v>0</v>
      </c>
      <c r="AX32" s="88" t="n">
        <f aca="false">ROUND(G32*AP32,2)</f>
        <v>0</v>
      </c>
      <c r="AY32" s="87" t="s">
        <v>389</v>
      </c>
      <c r="AZ32" s="87" t="s">
        <v>367</v>
      </c>
      <c r="BA32" s="116" t="s">
        <v>368</v>
      </c>
      <c r="BC32" s="88" t="n">
        <f aca="false">AW32+AX32</f>
        <v>0</v>
      </c>
      <c r="BD32" s="88" t="n">
        <f aca="false">H32/(100-BE32)*100</f>
        <v>0</v>
      </c>
      <c r="BE32" s="88" t="n">
        <v>0</v>
      </c>
      <c r="BF32" s="88" t="n">
        <f aca="false">M32</f>
        <v>0.011</v>
      </c>
      <c r="BH32" s="144" t="n">
        <f aca="false">G32*AO32</f>
        <v>0</v>
      </c>
      <c r="BI32" s="144" t="n">
        <f aca="false">G32*AP32</f>
        <v>0</v>
      </c>
      <c r="BJ32" s="144" t="n">
        <f aca="false">G32*H32</f>
        <v>0</v>
      </c>
      <c r="BK32" s="145" t="s">
        <v>180</v>
      </c>
      <c r="BL32" s="88" t="n">
        <v>18</v>
      </c>
      <c r="BW32" s="88" t="n">
        <v>21</v>
      </c>
      <c r="BX32" s="146" t="s">
        <v>420</v>
      </c>
    </row>
    <row r="33" customFormat="false" ht="15" hidden="false" customHeight="true" outlineLevel="0" collapsed="false">
      <c r="A33" s="139" t="s">
        <v>225</v>
      </c>
      <c r="B33" s="139" t="s">
        <v>109</v>
      </c>
      <c r="C33" s="139" t="s">
        <v>422</v>
      </c>
      <c r="D33" s="140" t="s">
        <v>423</v>
      </c>
      <c r="E33" s="140"/>
      <c r="F33" s="139" t="s">
        <v>202</v>
      </c>
      <c r="G33" s="141" t="n">
        <f aca="false">'Stavební rozpočet'!G104</f>
        <v>4</v>
      </c>
      <c r="H33" s="142" t="n">
        <f aca="false">'Stavební rozpočet'!H104</f>
        <v>0</v>
      </c>
      <c r="I33" s="142" t="n">
        <f aca="false">ROUND(G33*AO33,2)</f>
        <v>0</v>
      </c>
      <c r="J33" s="142" t="n">
        <f aca="false">ROUND(G33*AP33,2)</f>
        <v>0</v>
      </c>
      <c r="K33" s="142" t="n">
        <f aca="false">ROUND(G33*H33,2)</f>
        <v>0</v>
      </c>
      <c r="L33" s="142" t="n">
        <f aca="false">'Stavební rozpočet'!L104</f>
        <v>0.001</v>
      </c>
      <c r="M33" s="142" t="n">
        <f aca="false">G33*L33</f>
        <v>0.004</v>
      </c>
      <c r="N33" s="143"/>
      <c r="Z33" s="88" t="n">
        <f aca="false">ROUND(IF(AQ33="5",BJ33,0),2)</f>
        <v>0</v>
      </c>
      <c r="AB33" s="88" t="n">
        <f aca="false">ROUND(IF(AQ33="1",BH33,0),2)</f>
        <v>0</v>
      </c>
      <c r="AC33" s="88" t="n">
        <f aca="false">ROUND(IF(AQ33="1",BI33,0),2)</f>
        <v>0</v>
      </c>
      <c r="AD33" s="88" t="n">
        <f aca="false">ROUND(IF(AQ33="7",BH33,0),2)</f>
        <v>0</v>
      </c>
      <c r="AE33" s="88" t="n">
        <f aca="false">ROUND(IF(AQ33="7",BI33,0),2)</f>
        <v>0</v>
      </c>
      <c r="AF33" s="88" t="n">
        <f aca="false">ROUND(IF(AQ33="2",BH33,0),2)</f>
        <v>0</v>
      </c>
      <c r="AG33" s="88" t="n">
        <f aca="false">ROUND(IF(AQ33="2",BI33,0),2)</f>
        <v>0</v>
      </c>
      <c r="AH33" s="88" t="n">
        <f aca="false">ROUND(IF(AQ33="0",BJ33,0),2)</f>
        <v>0</v>
      </c>
      <c r="AI33" s="116" t="s">
        <v>109</v>
      </c>
      <c r="AJ33" s="144" t="n">
        <f aca="false">IF(AN33=0,K33,0)</f>
        <v>0</v>
      </c>
      <c r="AK33" s="144" t="n">
        <f aca="false">IF(AN33=12,K33,0)</f>
        <v>0</v>
      </c>
      <c r="AL33" s="144" t="n">
        <f aca="false">IF(AN33=21,K33,0)</f>
        <v>0</v>
      </c>
      <c r="AN33" s="88" t="n">
        <v>21</v>
      </c>
      <c r="AO33" s="88" t="n">
        <f aca="false">H33*1</f>
        <v>0</v>
      </c>
      <c r="AP33" s="88" t="n">
        <f aca="false">H33*(1-1)</f>
        <v>0</v>
      </c>
      <c r="AQ33" s="145" t="s">
        <v>151</v>
      </c>
      <c r="AV33" s="88" t="n">
        <f aca="false">ROUND(AW33+AX33,2)</f>
        <v>0</v>
      </c>
      <c r="AW33" s="88" t="n">
        <f aca="false">ROUND(G33*AO33,2)</f>
        <v>0</v>
      </c>
      <c r="AX33" s="88" t="n">
        <f aca="false">ROUND(G33*AP33,2)</f>
        <v>0</v>
      </c>
      <c r="AY33" s="87" t="s">
        <v>389</v>
      </c>
      <c r="AZ33" s="87" t="s">
        <v>367</v>
      </c>
      <c r="BA33" s="116" t="s">
        <v>368</v>
      </c>
      <c r="BC33" s="88" t="n">
        <f aca="false">AW33+AX33</f>
        <v>0</v>
      </c>
      <c r="BD33" s="88" t="n">
        <f aca="false">H33/(100-BE33)*100</f>
        <v>0</v>
      </c>
      <c r="BE33" s="88" t="n">
        <v>0</v>
      </c>
      <c r="BF33" s="88" t="n">
        <f aca="false">M33</f>
        <v>0.004</v>
      </c>
      <c r="BH33" s="144" t="n">
        <f aca="false">G33*AO33</f>
        <v>0</v>
      </c>
      <c r="BI33" s="144" t="n">
        <f aca="false">G33*AP33</f>
        <v>0</v>
      </c>
      <c r="BJ33" s="144" t="n">
        <f aca="false">G33*H33</f>
        <v>0</v>
      </c>
      <c r="BK33" s="145" t="s">
        <v>180</v>
      </c>
      <c r="BL33" s="88" t="n">
        <v>18</v>
      </c>
      <c r="BW33" s="88" t="n">
        <v>21</v>
      </c>
      <c r="BX33" s="146" t="s">
        <v>423</v>
      </c>
    </row>
    <row r="34" customFormat="false" ht="15" hidden="false" customHeight="true" outlineLevel="0" collapsed="false">
      <c r="A34" s="139" t="s">
        <v>228</v>
      </c>
      <c r="B34" s="139" t="s">
        <v>109</v>
      </c>
      <c r="C34" s="139" t="s">
        <v>425</v>
      </c>
      <c r="D34" s="140" t="s">
        <v>426</v>
      </c>
      <c r="E34" s="140"/>
      <c r="F34" s="139" t="s">
        <v>202</v>
      </c>
      <c r="G34" s="141" t="n">
        <f aca="false">'Stavební rozpočet'!G105</f>
        <v>3</v>
      </c>
      <c r="H34" s="142" t="n">
        <f aca="false">'Stavební rozpočet'!H105</f>
        <v>0</v>
      </c>
      <c r="I34" s="142" t="n">
        <f aca="false">ROUND(G34*AO34,2)</f>
        <v>0</v>
      </c>
      <c r="J34" s="142" t="n">
        <f aca="false">ROUND(G34*AP34,2)</f>
        <v>0</v>
      </c>
      <c r="K34" s="142" t="n">
        <f aca="false">ROUND(G34*H34,2)</f>
        <v>0</v>
      </c>
      <c r="L34" s="142" t="n">
        <f aca="false">'Stavební rozpočet'!L105</f>
        <v>0.001</v>
      </c>
      <c r="M34" s="142" t="n">
        <f aca="false">G34*L34</f>
        <v>0.003</v>
      </c>
      <c r="N34" s="143"/>
      <c r="Z34" s="88" t="n">
        <f aca="false">ROUND(IF(AQ34="5",BJ34,0),2)</f>
        <v>0</v>
      </c>
      <c r="AB34" s="88" t="n">
        <f aca="false">ROUND(IF(AQ34="1",BH34,0),2)</f>
        <v>0</v>
      </c>
      <c r="AC34" s="88" t="n">
        <f aca="false">ROUND(IF(AQ34="1",BI34,0),2)</f>
        <v>0</v>
      </c>
      <c r="AD34" s="88" t="n">
        <f aca="false">ROUND(IF(AQ34="7",BH34,0),2)</f>
        <v>0</v>
      </c>
      <c r="AE34" s="88" t="n">
        <f aca="false">ROUND(IF(AQ34="7",BI34,0),2)</f>
        <v>0</v>
      </c>
      <c r="AF34" s="88" t="n">
        <f aca="false">ROUND(IF(AQ34="2",BH34,0),2)</f>
        <v>0</v>
      </c>
      <c r="AG34" s="88" t="n">
        <f aca="false">ROUND(IF(AQ34="2",BI34,0),2)</f>
        <v>0</v>
      </c>
      <c r="AH34" s="88" t="n">
        <f aca="false">ROUND(IF(AQ34="0",BJ34,0),2)</f>
        <v>0</v>
      </c>
      <c r="AI34" s="116" t="s">
        <v>109</v>
      </c>
      <c r="AJ34" s="144" t="n">
        <f aca="false">IF(AN34=0,K34,0)</f>
        <v>0</v>
      </c>
      <c r="AK34" s="144" t="n">
        <f aca="false">IF(AN34=12,K34,0)</f>
        <v>0</v>
      </c>
      <c r="AL34" s="144" t="n">
        <f aca="false">IF(AN34=21,K34,0)</f>
        <v>0</v>
      </c>
      <c r="AN34" s="88" t="n">
        <v>21</v>
      </c>
      <c r="AO34" s="88" t="n">
        <f aca="false">H34*1</f>
        <v>0</v>
      </c>
      <c r="AP34" s="88" t="n">
        <f aca="false">H34*(1-1)</f>
        <v>0</v>
      </c>
      <c r="AQ34" s="145" t="s">
        <v>151</v>
      </c>
      <c r="AV34" s="88" t="n">
        <f aca="false">ROUND(AW34+AX34,2)</f>
        <v>0</v>
      </c>
      <c r="AW34" s="88" t="n">
        <f aca="false">ROUND(G34*AO34,2)</f>
        <v>0</v>
      </c>
      <c r="AX34" s="88" t="n">
        <f aca="false">ROUND(G34*AP34,2)</f>
        <v>0</v>
      </c>
      <c r="AY34" s="87" t="s">
        <v>389</v>
      </c>
      <c r="AZ34" s="87" t="s">
        <v>367</v>
      </c>
      <c r="BA34" s="116" t="s">
        <v>368</v>
      </c>
      <c r="BC34" s="88" t="n">
        <f aca="false">AW34+AX34</f>
        <v>0</v>
      </c>
      <c r="BD34" s="88" t="n">
        <f aca="false">H34/(100-BE34)*100</f>
        <v>0</v>
      </c>
      <c r="BE34" s="88" t="n">
        <v>0</v>
      </c>
      <c r="BF34" s="88" t="n">
        <f aca="false">M34</f>
        <v>0.003</v>
      </c>
      <c r="BH34" s="144" t="n">
        <f aca="false">G34*AO34</f>
        <v>0</v>
      </c>
      <c r="BI34" s="144" t="n">
        <f aca="false">G34*AP34</f>
        <v>0</v>
      </c>
      <c r="BJ34" s="144" t="n">
        <f aca="false">G34*H34</f>
        <v>0</v>
      </c>
      <c r="BK34" s="145" t="s">
        <v>180</v>
      </c>
      <c r="BL34" s="88" t="n">
        <v>18</v>
      </c>
      <c r="BW34" s="88" t="n">
        <v>21</v>
      </c>
      <c r="BX34" s="146" t="s">
        <v>426</v>
      </c>
    </row>
    <row r="35" customFormat="false" ht="15" hidden="false" customHeight="true" outlineLevel="0" collapsed="false">
      <c r="A35" s="139" t="s">
        <v>231</v>
      </c>
      <c r="B35" s="139" t="s">
        <v>109</v>
      </c>
      <c r="C35" s="139" t="s">
        <v>428</v>
      </c>
      <c r="D35" s="140" t="s">
        <v>429</v>
      </c>
      <c r="E35" s="140"/>
      <c r="F35" s="139" t="s">
        <v>202</v>
      </c>
      <c r="G35" s="141" t="n">
        <f aca="false">'Stavební rozpočet'!G106</f>
        <v>8</v>
      </c>
      <c r="H35" s="142" t="n">
        <f aca="false">'Stavební rozpočet'!H106</f>
        <v>0</v>
      </c>
      <c r="I35" s="142" t="n">
        <f aca="false">ROUND(G35*AO35,2)</f>
        <v>0</v>
      </c>
      <c r="J35" s="142" t="n">
        <f aca="false">ROUND(G35*AP35,2)</f>
        <v>0</v>
      </c>
      <c r="K35" s="142" t="n">
        <f aca="false">ROUND(G35*H35,2)</f>
        <v>0</v>
      </c>
      <c r="L35" s="142" t="n">
        <f aca="false">'Stavební rozpočet'!L106</f>
        <v>0.001</v>
      </c>
      <c r="M35" s="142" t="n">
        <f aca="false">G35*L35</f>
        <v>0.008</v>
      </c>
      <c r="N35" s="143"/>
      <c r="Z35" s="88" t="n">
        <f aca="false">ROUND(IF(AQ35="5",BJ35,0),2)</f>
        <v>0</v>
      </c>
      <c r="AB35" s="88" t="n">
        <f aca="false">ROUND(IF(AQ35="1",BH35,0),2)</f>
        <v>0</v>
      </c>
      <c r="AC35" s="88" t="n">
        <f aca="false">ROUND(IF(AQ35="1",BI35,0),2)</f>
        <v>0</v>
      </c>
      <c r="AD35" s="88" t="n">
        <f aca="false">ROUND(IF(AQ35="7",BH35,0),2)</f>
        <v>0</v>
      </c>
      <c r="AE35" s="88" t="n">
        <f aca="false">ROUND(IF(AQ35="7",BI35,0),2)</f>
        <v>0</v>
      </c>
      <c r="AF35" s="88" t="n">
        <f aca="false">ROUND(IF(AQ35="2",BH35,0),2)</f>
        <v>0</v>
      </c>
      <c r="AG35" s="88" t="n">
        <f aca="false">ROUND(IF(AQ35="2",BI35,0),2)</f>
        <v>0</v>
      </c>
      <c r="AH35" s="88" t="n">
        <f aca="false">ROUND(IF(AQ35="0",BJ35,0),2)</f>
        <v>0</v>
      </c>
      <c r="AI35" s="116" t="s">
        <v>109</v>
      </c>
      <c r="AJ35" s="144" t="n">
        <f aca="false">IF(AN35=0,K35,0)</f>
        <v>0</v>
      </c>
      <c r="AK35" s="144" t="n">
        <f aca="false">IF(AN35=12,K35,0)</f>
        <v>0</v>
      </c>
      <c r="AL35" s="144" t="n">
        <f aca="false">IF(AN35=21,K35,0)</f>
        <v>0</v>
      </c>
      <c r="AN35" s="88" t="n">
        <v>21</v>
      </c>
      <c r="AO35" s="88" t="n">
        <f aca="false">H35*1</f>
        <v>0</v>
      </c>
      <c r="AP35" s="88" t="n">
        <f aca="false">H35*(1-1)</f>
        <v>0</v>
      </c>
      <c r="AQ35" s="145" t="s">
        <v>151</v>
      </c>
      <c r="AV35" s="88" t="n">
        <f aca="false">ROUND(AW35+AX35,2)</f>
        <v>0</v>
      </c>
      <c r="AW35" s="88" t="n">
        <f aca="false">ROUND(G35*AO35,2)</f>
        <v>0</v>
      </c>
      <c r="AX35" s="88" t="n">
        <f aca="false">ROUND(G35*AP35,2)</f>
        <v>0</v>
      </c>
      <c r="AY35" s="87" t="s">
        <v>389</v>
      </c>
      <c r="AZ35" s="87" t="s">
        <v>367</v>
      </c>
      <c r="BA35" s="116" t="s">
        <v>368</v>
      </c>
      <c r="BC35" s="88" t="n">
        <f aca="false">AW35+AX35</f>
        <v>0</v>
      </c>
      <c r="BD35" s="88" t="n">
        <f aca="false">H35/(100-BE35)*100</f>
        <v>0</v>
      </c>
      <c r="BE35" s="88" t="n">
        <v>0</v>
      </c>
      <c r="BF35" s="88" t="n">
        <f aca="false">M35</f>
        <v>0.008</v>
      </c>
      <c r="BH35" s="144" t="n">
        <f aca="false">G35*AO35</f>
        <v>0</v>
      </c>
      <c r="BI35" s="144" t="n">
        <f aca="false">G35*AP35</f>
        <v>0</v>
      </c>
      <c r="BJ35" s="144" t="n">
        <f aca="false">G35*H35</f>
        <v>0</v>
      </c>
      <c r="BK35" s="145" t="s">
        <v>180</v>
      </c>
      <c r="BL35" s="88" t="n">
        <v>18</v>
      </c>
      <c r="BW35" s="88" t="n">
        <v>21</v>
      </c>
      <c r="BX35" s="146" t="s">
        <v>429</v>
      </c>
    </row>
    <row r="36" customFormat="false" ht="15" hidden="false" customHeight="true" outlineLevel="0" collapsed="false">
      <c r="A36" s="139" t="s">
        <v>235</v>
      </c>
      <c r="B36" s="139" t="s">
        <v>109</v>
      </c>
      <c r="C36" s="139" t="s">
        <v>431</v>
      </c>
      <c r="D36" s="140" t="s">
        <v>432</v>
      </c>
      <c r="E36" s="140"/>
      <c r="F36" s="139" t="s">
        <v>202</v>
      </c>
      <c r="G36" s="141" t="n">
        <f aca="false">'Stavební rozpočet'!G107</f>
        <v>8</v>
      </c>
      <c r="H36" s="142" t="n">
        <f aca="false">'Stavební rozpočet'!H107</f>
        <v>0</v>
      </c>
      <c r="I36" s="142" t="n">
        <f aca="false">ROUND(G36*AO36,2)</f>
        <v>0</v>
      </c>
      <c r="J36" s="142" t="n">
        <f aca="false">ROUND(G36*AP36,2)</f>
        <v>0</v>
      </c>
      <c r="K36" s="142" t="n">
        <f aca="false">ROUND(G36*H36,2)</f>
        <v>0</v>
      </c>
      <c r="L36" s="142" t="n">
        <f aca="false">'Stavební rozpočet'!L107</f>
        <v>0.001</v>
      </c>
      <c r="M36" s="142" t="n">
        <f aca="false">G36*L36</f>
        <v>0.008</v>
      </c>
      <c r="N36" s="143"/>
      <c r="Z36" s="88" t="n">
        <f aca="false">ROUND(IF(AQ36="5",BJ36,0),2)</f>
        <v>0</v>
      </c>
      <c r="AB36" s="88" t="n">
        <f aca="false">ROUND(IF(AQ36="1",BH36,0),2)</f>
        <v>0</v>
      </c>
      <c r="AC36" s="88" t="n">
        <f aca="false">ROUND(IF(AQ36="1",BI36,0),2)</f>
        <v>0</v>
      </c>
      <c r="AD36" s="88" t="n">
        <f aca="false">ROUND(IF(AQ36="7",BH36,0),2)</f>
        <v>0</v>
      </c>
      <c r="AE36" s="88" t="n">
        <f aca="false">ROUND(IF(AQ36="7",BI36,0),2)</f>
        <v>0</v>
      </c>
      <c r="AF36" s="88" t="n">
        <f aca="false">ROUND(IF(AQ36="2",BH36,0),2)</f>
        <v>0</v>
      </c>
      <c r="AG36" s="88" t="n">
        <f aca="false">ROUND(IF(AQ36="2",BI36,0),2)</f>
        <v>0</v>
      </c>
      <c r="AH36" s="88" t="n">
        <f aca="false">ROUND(IF(AQ36="0",BJ36,0),2)</f>
        <v>0</v>
      </c>
      <c r="AI36" s="116" t="s">
        <v>109</v>
      </c>
      <c r="AJ36" s="144" t="n">
        <f aca="false">IF(AN36=0,K36,0)</f>
        <v>0</v>
      </c>
      <c r="AK36" s="144" t="n">
        <f aca="false">IF(AN36=12,K36,0)</f>
        <v>0</v>
      </c>
      <c r="AL36" s="144" t="n">
        <f aca="false">IF(AN36=21,K36,0)</f>
        <v>0</v>
      </c>
      <c r="AN36" s="88" t="n">
        <v>21</v>
      </c>
      <c r="AO36" s="88" t="n">
        <f aca="false">H36*1</f>
        <v>0</v>
      </c>
      <c r="AP36" s="88" t="n">
        <f aca="false">H36*(1-1)</f>
        <v>0</v>
      </c>
      <c r="AQ36" s="145" t="s">
        <v>151</v>
      </c>
      <c r="AV36" s="88" t="n">
        <f aca="false">ROUND(AW36+AX36,2)</f>
        <v>0</v>
      </c>
      <c r="AW36" s="88" t="n">
        <f aca="false">ROUND(G36*AO36,2)</f>
        <v>0</v>
      </c>
      <c r="AX36" s="88" t="n">
        <f aca="false">ROUND(G36*AP36,2)</f>
        <v>0</v>
      </c>
      <c r="AY36" s="87" t="s">
        <v>389</v>
      </c>
      <c r="AZ36" s="87" t="s">
        <v>367</v>
      </c>
      <c r="BA36" s="116" t="s">
        <v>368</v>
      </c>
      <c r="BC36" s="88" t="n">
        <f aca="false">AW36+AX36</f>
        <v>0</v>
      </c>
      <c r="BD36" s="88" t="n">
        <f aca="false">H36/(100-BE36)*100</f>
        <v>0</v>
      </c>
      <c r="BE36" s="88" t="n">
        <v>0</v>
      </c>
      <c r="BF36" s="88" t="n">
        <f aca="false">M36</f>
        <v>0.008</v>
      </c>
      <c r="BH36" s="144" t="n">
        <f aca="false">G36*AO36</f>
        <v>0</v>
      </c>
      <c r="BI36" s="144" t="n">
        <f aca="false">G36*AP36</f>
        <v>0</v>
      </c>
      <c r="BJ36" s="144" t="n">
        <f aca="false">G36*H36</f>
        <v>0</v>
      </c>
      <c r="BK36" s="145" t="s">
        <v>180</v>
      </c>
      <c r="BL36" s="88" t="n">
        <v>18</v>
      </c>
      <c r="BW36" s="88" t="n">
        <v>21</v>
      </c>
      <c r="BX36" s="146" t="s">
        <v>432</v>
      </c>
    </row>
    <row r="37" customFormat="false" ht="15" hidden="false" customHeight="true" outlineLevel="0" collapsed="false">
      <c r="A37" s="139" t="s">
        <v>241</v>
      </c>
      <c r="B37" s="139" t="s">
        <v>109</v>
      </c>
      <c r="C37" s="139" t="s">
        <v>434</v>
      </c>
      <c r="D37" s="140" t="s">
        <v>435</v>
      </c>
      <c r="E37" s="140"/>
      <c r="F37" s="139" t="s">
        <v>202</v>
      </c>
      <c r="G37" s="141" t="n">
        <f aca="false">'Stavební rozpočet'!G108</f>
        <v>17</v>
      </c>
      <c r="H37" s="142" t="n">
        <f aca="false">'Stavební rozpočet'!H108</f>
        <v>0</v>
      </c>
      <c r="I37" s="142" t="n">
        <f aca="false">ROUND(G37*AO37,2)</f>
        <v>0</v>
      </c>
      <c r="J37" s="142" t="n">
        <f aca="false">ROUND(G37*AP37,2)</f>
        <v>0</v>
      </c>
      <c r="K37" s="142" t="n">
        <f aca="false">ROUND(G37*H37,2)</f>
        <v>0</v>
      </c>
      <c r="L37" s="142" t="n">
        <f aca="false">'Stavební rozpočet'!L108</f>
        <v>0.001</v>
      </c>
      <c r="M37" s="142" t="n">
        <f aca="false">G37*L37</f>
        <v>0.017</v>
      </c>
      <c r="N37" s="143"/>
      <c r="Z37" s="88" t="n">
        <f aca="false">ROUND(IF(AQ37="5",BJ37,0),2)</f>
        <v>0</v>
      </c>
      <c r="AB37" s="88" t="n">
        <f aca="false">ROUND(IF(AQ37="1",BH37,0),2)</f>
        <v>0</v>
      </c>
      <c r="AC37" s="88" t="n">
        <f aca="false">ROUND(IF(AQ37="1",BI37,0),2)</f>
        <v>0</v>
      </c>
      <c r="AD37" s="88" t="n">
        <f aca="false">ROUND(IF(AQ37="7",BH37,0),2)</f>
        <v>0</v>
      </c>
      <c r="AE37" s="88" t="n">
        <f aca="false">ROUND(IF(AQ37="7",BI37,0),2)</f>
        <v>0</v>
      </c>
      <c r="AF37" s="88" t="n">
        <f aca="false">ROUND(IF(AQ37="2",BH37,0),2)</f>
        <v>0</v>
      </c>
      <c r="AG37" s="88" t="n">
        <f aca="false">ROUND(IF(AQ37="2",BI37,0),2)</f>
        <v>0</v>
      </c>
      <c r="AH37" s="88" t="n">
        <f aca="false">ROUND(IF(AQ37="0",BJ37,0),2)</f>
        <v>0</v>
      </c>
      <c r="AI37" s="116" t="s">
        <v>109</v>
      </c>
      <c r="AJ37" s="144" t="n">
        <f aca="false">IF(AN37=0,K37,0)</f>
        <v>0</v>
      </c>
      <c r="AK37" s="144" t="n">
        <f aca="false">IF(AN37=12,K37,0)</f>
        <v>0</v>
      </c>
      <c r="AL37" s="144" t="n">
        <f aca="false">IF(AN37=21,K37,0)</f>
        <v>0</v>
      </c>
      <c r="AN37" s="88" t="n">
        <v>21</v>
      </c>
      <c r="AO37" s="88" t="n">
        <f aca="false">H37*1</f>
        <v>0</v>
      </c>
      <c r="AP37" s="88" t="n">
        <f aca="false">H37*(1-1)</f>
        <v>0</v>
      </c>
      <c r="AQ37" s="145" t="s">
        <v>151</v>
      </c>
      <c r="AV37" s="88" t="n">
        <f aca="false">ROUND(AW37+AX37,2)</f>
        <v>0</v>
      </c>
      <c r="AW37" s="88" t="n">
        <f aca="false">ROUND(G37*AO37,2)</f>
        <v>0</v>
      </c>
      <c r="AX37" s="88" t="n">
        <f aca="false">ROUND(G37*AP37,2)</f>
        <v>0</v>
      </c>
      <c r="AY37" s="87" t="s">
        <v>389</v>
      </c>
      <c r="AZ37" s="87" t="s">
        <v>367</v>
      </c>
      <c r="BA37" s="116" t="s">
        <v>368</v>
      </c>
      <c r="BC37" s="88" t="n">
        <f aca="false">AW37+AX37</f>
        <v>0</v>
      </c>
      <c r="BD37" s="88" t="n">
        <f aca="false">H37/(100-BE37)*100</f>
        <v>0</v>
      </c>
      <c r="BE37" s="88" t="n">
        <v>0</v>
      </c>
      <c r="BF37" s="88" t="n">
        <f aca="false">M37</f>
        <v>0.017</v>
      </c>
      <c r="BH37" s="144" t="n">
        <f aca="false">G37*AO37</f>
        <v>0</v>
      </c>
      <c r="BI37" s="144" t="n">
        <f aca="false">G37*AP37</f>
        <v>0</v>
      </c>
      <c r="BJ37" s="144" t="n">
        <f aca="false">G37*H37</f>
        <v>0</v>
      </c>
      <c r="BK37" s="145" t="s">
        <v>180</v>
      </c>
      <c r="BL37" s="88" t="n">
        <v>18</v>
      </c>
      <c r="BW37" s="88" t="n">
        <v>21</v>
      </c>
      <c r="BX37" s="146" t="s">
        <v>435</v>
      </c>
    </row>
    <row r="38" customFormat="false" ht="15" hidden="false" customHeight="true" outlineLevel="0" collapsed="false">
      <c r="A38" s="139" t="s">
        <v>244</v>
      </c>
      <c r="B38" s="139" t="s">
        <v>109</v>
      </c>
      <c r="C38" s="139" t="s">
        <v>437</v>
      </c>
      <c r="D38" s="140" t="s">
        <v>438</v>
      </c>
      <c r="E38" s="140"/>
      <c r="F38" s="139" t="s">
        <v>202</v>
      </c>
      <c r="G38" s="141" t="n">
        <f aca="false">'Stavební rozpočet'!G109</f>
        <v>8</v>
      </c>
      <c r="H38" s="142" t="n">
        <f aca="false">'Stavební rozpočet'!H109</f>
        <v>0</v>
      </c>
      <c r="I38" s="142" t="n">
        <f aca="false">ROUND(G38*AO38,2)</f>
        <v>0</v>
      </c>
      <c r="J38" s="142" t="n">
        <f aca="false">ROUND(G38*AP38,2)</f>
        <v>0</v>
      </c>
      <c r="K38" s="142" t="n">
        <f aca="false">ROUND(G38*H38,2)</f>
        <v>0</v>
      </c>
      <c r="L38" s="142" t="n">
        <f aca="false">'Stavební rozpočet'!L109</f>
        <v>0.001</v>
      </c>
      <c r="M38" s="142" t="n">
        <f aca="false">G38*L38</f>
        <v>0.008</v>
      </c>
      <c r="N38" s="143"/>
      <c r="Z38" s="88" t="n">
        <f aca="false">ROUND(IF(AQ38="5",BJ38,0),2)</f>
        <v>0</v>
      </c>
      <c r="AB38" s="88" t="n">
        <f aca="false">ROUND(IF(AQ38="1",BH38,0),2)</f>
        <v>0</v>
      </c>
      <c r="AC38" s="88" t="n">
        <f aca="false">ROUND(IF(AQ38="1",BI38,0),2)</f>
        <v>0</v>
      </c>
      <c r="AD38" s="88" t="n">
        <f aca="false">ROUND(IF(AQ38="7",BH38,0),2)</f>
        <v>0</v>
      </c>
      <c r="AE38" s="88" t="n">
        <f aca="false">ROUND(IF(AQ38="7",BI38,0),2)</f>
        <v>0</v>
      </c>
      <c r="AF38" s="88" t="n">
        <f aca="false">ROUND(IF(AQ38="2",BH38,0),2)</f>
        <v>0</v>
      </c>
      <c r="AG38" s="88" t="n">
        <f aca="false">ROUND(IF(AQ38="2",BI38,0),2)</f>
        <v>0</v>
      </c>
      <c r="AH38" s="88" t="n">
        <f aca="false">ROUND(IF(AQ38="0",BJ38,0),2)</f>
        <v>0</v>
      </c>
      <c r="AI38" s="116" t="s">
        <v>109</v>
      </c>
      <c r="AJ38" s="144" t="n">
        <f aca="false">IF(AN38=0,K38,0)</f>
        <v>0</v>
      </c>
      <c r="AK38" s="144" t="n">
        <f aca="false">IF(AN38=12,K38,0)</f>
        <v>0</v>
      </c>
      <c r="AL38" s="144" t="n">
        <f aca="false">IF(AN38=21,K38,0)</f>
        <v>0</v>
      </c>
      <c r="AN38" s="88" t="n">
        <v>21</v>
      </c>
      <c r="AO38" s="88" t="n">
        <f aca="false">H38*1</f>
        <v>0</v>
      </c>
      <c r="AP38" s="88" t="n">
        <f aca="false">H38*(1-1)</f>
        <v>0</v>
      </c>
      <c r="AQ38" s="145" t="s">
        <v>151</v>
      </c>
      <c r="AV38" s="88" t="n">
        <f aca="false">ROUND(AW38+AX38,2)</f>
        <v>0</v>
      </c>
      <c r="AW38" s="88" t="n">
        <f aca="false">ROUND(G38*AO38,2)</f>
        <v>0</v>
      </c>
      <c r="AX38" s="88" t="n">
        <f aca="false">ROUND(G38*AP38,2)</f>
        <v>0</v>
      </c>
      <c r="AY38" s="87" t="s">
        <v>389</v>
      </c>
      <c r="AZ38" s="87" t="s">
        <v>367</v>
      </c>
      <c r="BA38" s="116" t="s">
        <v>368</v>
      </c>
      <c r="BC38" s="88" t="n">
        <f aca="false">AW38+AX38</f>
        <v>0</v>
      </c>
      <c r="BD38" s="88" t="n">
        <f aca="false">H38/(100-BE38)*100</f>
        <v>0</v>
      </c>
      <c r="BE38" s="88" t="n">
        <v>0</v>
      </c>
      <c r="BF38" s="88" t="n">
        <f aca="false">M38</f>
        <v>0.008</v>
      </c>
      <c r="BH38" s="144" t="n">
        <f aca="false">G38*AO38</f>
        <v>0</v>
      </c>
      <c r="BI38" s="144" t="n">
        <f aca="false">G38*AP38</f>
        <v>0</v>
      </c>
      <c r="BJ38" s="144" t="n">
        <f aca="false">G38*H38</f>
        <v>0</v>
      </c>
      <c r="BK38" s="145" t="s">
        <v>180</v>
      </c>
      <c r="BL38" s="88" t="n">
        <v>18</v>
      </c>
      <c r="BW38" s="88" t="n">
        <v>21</v>
      </c>
      <c r="BX38" s="146" t="s">
        <v>438</v>
      </c>
    </row>
    <row r="39" customFormat="false" ht="15" hidden="false" customHeight="true" outlineLevel="0" collapsed="false">
      <c r="A39" s="139" t="s">
        <v>247</v>
      </c>
      <c r="B39" s="139" t="s">
        <v>109</v>
      </c>
      <c r="C39" s="139" t="s">
        <v>440</v>
      </c>
      <c r="D39" s="140" t="s">
        <v>441</v>
      </c>
      <c r="E39" s="140"/>
      <c r="F39" s="139" t="s">
        <v>202</v>
      </c>
      <c r="G39" s="141" t="n">
        <f aca="false">'Stavební rozpočet'!G110</f>
        <v>6</v>
      </c>
      <c r="H39" s="142" t="n">
        <f aca="false">'Stavební rozpočet'!H110</f>
        <v>0</v>
      </c>
      <c r="I39" s="142" t="n">
        <f aca="false">ROUND(G39*AO39,2)</f>
        <v>0</v>
      </c>
      <c r="J39" s="142" t="n">
        <f aca="false">ROUND(G39*AP39,2)</f>
        <v>0</v>
      </c>
      <c r="K39" s="142" t="n">
        <f aca="false">ROUND(G39*H39,2)</f>
        <v>0</v>
      </c>
      <c r="L39" s="142" t="n">
        <f aca="false">'Stavební rozpočet'!L110</f>
        <v>0.001</v>
      </c>
      <c r="M39" s="142" t="n">
        <f aca="false">G39*L39</f>
        <v>0.006</v>
      </c>
      <c r="N39" s="143"/>
      <c r="Z39" s="88" t="n">
        <f aca="false">ROUND(IF(AQ39="5",BJ39,0),2)</f>
        <v>0</v>
      </c>
      <c r="AB39" s="88" t="n">
        <f aca="false">ROUND(IF(AQ39="1",BH39,0),2)</f>
        <v>0</v>
      </c>
      <c r="AC39" s="88" t="n">
        <f aca="false">ROUND(IF(AQ39="1",BI39,0),2)</f>
        <v>0</v>
      </c>
      <c r="AD39" s="88" t="n">
        <f aca="false">ROUND(IF(AQ39="7",BH39,0),2)</f>
        <v>0</v>
      </c>
      <c r="AE39" s="88" t="n">
        <f aca="false">ROUND(IF(AQ39="7",BI39,0),2)</f>
        <v>0</v>
      </c>
      <c r="AF39" s="88" t="n">
        <f aca="false">ROUND(IF(AQ39="2",BH39,0),2)</f>
        <v>0</v>
      </c>
      <c r="AG39" s="88" t="n">
        <f aca="false">ROUND(IF(AQ39="2",BI39,0),2)</f>
        <v>0</v>
      </c>
      <c r="AH39" s="88" t="n">
        <f aca="false">ROUND(IF(AQ39="0",BJ39,0),2)</f>
        <v>0</v>
      </c>
      <c r="AI39" s="116" t="s">
        <v>109</v>
      </c>
      <c r="AJ39" s="144" t="n">
        <f aca="false">IF(AN39=0,K39,0)</f>
        <v>0</v>
      </c>
      <c r="AK39" s="144" t="n">
        <f aca="false">IF(AN39=12,K39,0)</f>
        <v>0</v>
      </c>
      <c r="AL39" s="144" t="n">
        <f aca="false">IF(AN39=21,K39,0)</f>
        <v>0</v>
      </c>
      <c r="AN39" s="88" t="n">
        <v>21</v>
      </c>
      <c r="AO39" s="88" t="n">
        <f aca="false">H39*1</f>
        <v>0</v>
      </c>
      <c r="AP39" s="88" t="n">
        <f aca="false">H39*(1-1)</f>
        <v>0</v>
      </c>
      <c r="AQ39" s="145" t="s">
        <v>151</v>
      </c>
      <c r="AV39" s="88" t="n">
        <f aca="false">ROUND(AW39+AX39,2)</f>
        <v>0</v>
      </c>
      <c r="AW39" s="88" t="n">
        <f aca="false">ROUND(G39*AO39,2)</f>
        <v>0</v>
      </c>
      <c r="AX39" s="88" t="n">
        <f aca="false">ROUND(G39*AP39,2)</f>
        <v>0</v>
      </c>
      <c r="AY39" s="87" t="s">
        <v>389</v>
      </c>
      <c r="AZ39" s="87" t="s">
        <v>367</v>
      </c>
      <c r="BA39" s="116" t="s">
        <v>368</v>
      </c>
      <c r="BC39" s="88" t="n">
        <f aca="false">AW39+AX39</f>
        <v>0</v>
      </c>
      <c r="BD39" s="88" t="n">
        <f aca="false">H39/(100-BE39)*100</f>
        <v>0</v>
      </c>
      <c r="BE39" s="88" t="n">
        <v>0</v>
      </c>
      <c r="BF39" s="88" t="n">
        <f aca="false">M39</f>
        <v>0.006</v>
      </c>
      <c r="BH39" s="144" t="n">
        <f aca="false">G39*AO39</f>
        <v>0</v>
      </c>
      <c r="BI39" s="144" t="n">
        <f aca="false">G39*AP39</f>
        <v>0</v>
      </c>
      <c r="BJ39" s="144" t="n">
        <f aca="false">G39*H39</f>
        <v>0</v>
      </c>
      <c r="BK39" s="145" t="s">
        <v>180</v>
      </c>
      <c r="BL39" s="88" t="n">
        <v>18</v>
      </c>
      <c r="BW39" s="88" t="n">
        <v>21</v>
      </c>
      <c r="BX39" s="146" t="s">
        <v>441</v>
      </c>
    </row>
    <row r="40" customFormat="false" ht="15" hidden="false" customHeight="true" outlineLevel="0" collapsed="false">
      <c r="A40" s="139" t="s">
        <v>250</v>
      </c>
      <c r="B40" s="139" t="s">
        <v>109</v>
      </c>
      <c r="C40" s="139" t="s">
        <v>443</v>
      </c>
      <c r="D40" s="140" t="s">
        <v>444</v>
      </c>
      <c r="E40" s="140"/>
      <c r="F40" s="139" t="s">
        <v>202</v>
      </c>
      <c r="G40" s="141" t="n">
        <f aca="false">'Stavební rozpočet'!G111</f>
        <v>9</v>
      </c>
      <c r="H40" s="142" t="n">
        <f aca="false">'Stavební rozpočet'!H111</f>
        <v>0</v>
      </c>
      <c r="I40" s="142" t="n">
        <f aca="false">ROUND(G40*AO40,2)</f>
        <v>0</v>
      </c>
      <c r="J40" s="142" t="n">
        <f aca="false">ROUND(G40*AP40,2)</f>
        <v>0</v>
      </c>
      <c r="K40" s="142" t="n">
        <f aca="false">ROUND(G40*H40,2)</f>
        <v>0</v>
      </c>
      <c r="L40" s="142" t="n">
        <f aca="false">'Stavební rozpočet'!L111</f>
        <v>0.001</v>
      </c>
      <c r="M40" s="142" t="n">
        <f aca="false">G40*L40</f>
        <v>0.009</v>
      </c>
      <c r="N40" s="143"/>
      <c r="Z40" s="88" t="n">
        <f aca="false">ROUND(IF(AQ40="5",BJ40,0),2)</f>
        <v>0</v>
      </c>
      <c r="AB40" s="88" t="n">
        <f aca="false">ROUND(IF(AQ40="1",BH40,0),2)</f>
        <v>0</v>
      </c>
      <c r="AC40" s="88" t="n">
        <f aca="false">ROUND(IF(AQ40="1",BI40,0),2)</f>
        <v>0</v>
      </c>
      <c r="AD40" s="88" t="n">
        <f aca="false">ROUND(IF(AQ40="7",BH40,0),2)</f>
        <v>0</v>
      </c>
      <c r="AE40" s="88" t="n">
        <f aca="false">ROUND(IF(AQ40="7",BI40,0),2)</f>
        <v>0</v>
      </c>
      <c r="AF40" s="88" t="n">
        <f aca="false">ROUND(IF(AQ40="2",BH40,0),2)</f>
        <v>0</v>
      </c>
      <c r="AG40" s="88" t="n">
        <f aca="false">ROUND(IF(AQ40="2",BI40,0),2)</f>
        <v>0</v>
      </c>
      <c r="AH40" s="88" t="n">
        <f aca="false">ROUND(IF(AQ40="0",BJ40,0),2)</f>
        <v>0</v>
      </c>
      <c r="AI40" s="116" t="s">
        <v>109</v>
      </c>
      <c r="AJ40" s="144" t="n">
        <f aca="false">IF(AN40=0,K40,0)</f>
        <v>0</v>
      </c>
      <c r="AK40" s="144" t="n">
        <f aca="false">IF(AN40=12,K40,0)</f>
        <v>0</v>
      </c>
      <c r="AL40" s="144" t="n">
        <f aca="false">IF(AN40=21,K40,0)</f>
        <v>0</v>
      </c>
      <c r="AN40" s="88" t="n">
        <v>21</v>
      </c>
      <c r="AO40" s="88" t="n">
        <f aca="false">H40*1</f>
        <v>0</v>
      </c>
      <c r="AP40" s="88" t="n">
        <f aca="false">H40*(1-1)</f>
        <v>0</v>
      </c>
      <c r="AQ40" s="145" t="s">
        <v>151</v>
      </c>
      <c r="AV40" s="88" t="n">
        <f aca="false">ROUND(AW40+AX40,2)</f>
        <v>0</v>
      </c>
      <c r="AW40" s="88" t="n">
        <f aca="false">ROUND(G40*AO40,2)</f>
        <v>0</v>
      </c>
      <c r="AX40" s="88" t="n">
        <f aca="false">ROUND(G40*AP40,2)</f>
        <v>0</v>
      </c>
      <c r="AY40" s="87" t="s">
        <v>389</v>
      </c>
      <c r="AZ40" s="87" t="s">
        <v>367</v>
      </c>
      <c r="BA40" s="116" t="s">
        <v>368</v>
      </c>
      <c r="BC40" s="88" t="n">
        <f aca="false">AW40+AX40</f>
        <v>0</v>
      </c>
      <c r="BD40" s="88" t="n">
        <f aca="false">H40/(100-BE40)*100</f>
        <v>0</v>
      </c>
      <c r="BE40" s="88" t="n">
        <v>0</v>
      </c>
      <c r="BF40" s="88" t="n">
        <f aca="false">M40</f>
        <v>0.009</v>
      </c>
      <c r="BH40" s="144" t="n">
        <f aca="false">G40*AO40</f>
        <v>0</v>
      </c>
      <c r="BI40" s="144" t="n">
        <f aca="false">G40*AP40</f>
        <v>0</v>
      </c>
      <c r="BJ40" s="144" t="n">
        <f aca="false">G40*H40</f>
        <v>0</v>
      </c>
      <c r="BK40" s="145" t="s">
        <v>180</v>
      </c>
      <c r="BL40" s="88" t="n">
        <v>18</v>
      </c>
      <c r="BW40" s="88" t="n">
        <v>21</v>
      </c>
      <c r="BX40" s="146" t="s">
        <v>444</v>
      </c>
    </row>
    <row r="41" customFormat="false" ht="15" hidden="false" customHeight="true" outlineLevel="0" collapsed="false">
      <c r="A41" s="139" t="s">
        <v>253</v>
      </c>
      <c r="B41" s="139" t="s">
        <v>109</v>
      </c>
      <c r="C41" s="139" t="s">
        <v>446</v>
      </c>
      <c r="D41" s="140" t="s">
        <v>447</v>
      </c>
      <c r="E41" s="140"/>
      <c r="F41" s="139" t="s">
        <v>202</v>
      </c>
      <c r="G41" s="141" t="n">
        <f aca="false">'Stavební rozpočet'!G112</f>
        <v>3</v>
      </c>
      <c r="H41" s="142" t="n">
        <f aca="false">'Stavební rozpočet'!H112</f>
        <v>0</v>
      </c>
      <c r="I41" s="142" t="n">
        <f aca="false">ROUND(G41*AO41,2)</f>
        <v>0</v>
      </c>
      <c r="J41" s="142" t="n">
        <f aca="false">ROUND(G41*AP41,2)</f>
        <v>0</v>
      </c>
      <c r="K41" s="142" t="n">
        <f aca="false">ROUND(G41*H41,2)</f>
        <v>0</v>
      </c>
      <c r="L41" s="142" t="n">
        <f aca="false">'Stavební rozpočet'!L112</f>
        <v>0.001</v>
      </c>
      <c r="M41" s="142" t="n">
        <f aca="false">G41*L41</f>
        <v>0.003</v>
      </c>
      <c r="N41" s="143"/>
      <c r="Z41" s="88" t="n">
        <f aca="false">ROUND(IF(AQ41="5",BJ41,0),2)</f>
        <v>0</v>
      </c>
      <c r="AB41" s="88" t="n">
        <f aca="false">ROUND(IF(AQ41="1",BH41,0),2)</f>
        <v>0</v>
      </c>
      <c r="AC41" s="88" t="n">
        <f aca="false">ROUND(IF(AQ41="1",BI41,0),2)</f>
        <v>0</v>
      </c>
      <c r="AD41" s="88" t="n">
        <f aca="false">ROUND(IF(AQ41="7",BH41,0),2)</f>
        <v>0</v>
      </c>
      <c r="AE41" s="88" t="n">
        <f aca="false">ROUND(IF(AQ41="7",BI41,0),2)</f>
        <v>0</v>
      </c>
      <c r="AF41" s="88" t="n">
        <f aca="false">ROUND(IF(AQ41="2",BH41,0),2)</f>
        <v>0</v>
      </c>
      <c r="AG41" s="88" t="n">
        <f aca="false">ROUND(IF(AQ41="2",BI41,0),2)</f>
        <v>0</v>
      </c>
      <c r="AH41" s="88" t="n">
        <f aca="false">ROUND(IF(AQ41="0",BJ41,0),2)</f>
        <v>0</v>
      </c>
      <c r="AI41" s="116" t="s">
        <v>109</v>
      </c>
      <c r="AJ41" s="144" t="n">
        <f aca="false">IF(AN41=0,K41,0)</f>
        <v>0</v>
      </c>
      <c r="AK41" s="144" t="n">
        <f aca="false">IF(AN41=12,K41,0)</f>
        <v>0</v>
      </c>
      <c r="AL41" s="144" t="n">
        <f aca="false">IF(AN41=21,K41,0)</f>
        <v>0</v>
      </c>
      <c r="AN41" s="88" t="n">
        <v>21</v>
      </c>
      <c r="AO41" s="88" t="n">
        <f aca="false">H41*1</f>
        <v>0</v>
      </c>
      <c r="AP41" s="88" t="n">
        <f aca="false">H41*(1-1)</f>
        <v>0</v>
      </c>
      <c r="AQ41" s="145" t="s">
        <v>151</v>
      </c>
      <c r="AV41" s="88" t="n">
        <f aca="false">ROUND(AW41+AX41,2)</f>
        <v>0</v>
      </c>
      <c r="AW41" s="88" t="n">
        <f aca="false">ROUND(G41*AO41,2)</f>
        <v>0</v>
      </c>
      <c r="AX41" s="88" t="n">
        <f aca="false">ROUND(G41*AP41,2)</f>
        <v>0</v>
      </c>
      <c r="AY41" s="87" t="s">
        <v>389</v>
      </c>
      <c r="AZ41" s="87" t="s">
        <v>367</v>
      </c>
      <c r="BA41" s="116" t="s">
        <v>368</v>
      </c>
      <c r="BC41" s="88" t="n">
        <f aca="false">AW41+AX41</f>
        <v>0</v>
      </c>
      <c r="BD41" s="88" t="n">
        <f aca="false">H41/(100-BE41)*100</f>
        <v>0</v>
      </c>
      <c r="BE41" s="88" t="n">
        <v>0</v>
      </c>
      <c r="BF41" s="88" t="n">
        <f aca="false">M41</f>
        <v>0.003</v>
      </c>
      <c r="BH41" s="144" t="n">
        <f aca="false">G41*AO41</f>
        <v>0</v>
      </c>
      <c r="BI41" s="144" t="n">
        <f aca="false">G41*AP41</f>
        <v>0</v>
      </c>
      <c r="BJ41" s="144" t="n">
        <f aca="false">G41*H41</f>
        <v>0</v>
      </c>
      <c r="BK41" s="145" t="s">
        <v>180</v>
      </c>
      <c r="BL41" s="88" t="n">
        <v>18</v>
      </c>
      <c r="BW41" s="88" t="n">
        <v>21</v>
      </c>
      <c r="BX41" s="146" t="s">
        <v>447</v>
      </c>
    </row>
    <row r="42" customFormat="false" ht="15" hidden="false" customHeight="true" outlineLevel="0" collapsed="false">
      <c r="A42" s="139" t="s">
        <v>256</v>
      </c>
      <c r="B42" s="139" t="s">
        <v>109</v>
      </c>
      <c r="C42" s="139" t="s">
        <v>449</v>
      </c>
      <c r="D42" s="140" t="s">
        <v>450</v>
      </c>
      <c r="E42" s="140"/>
      <c r="F42" s="139" t="s">
        <v>202</v>
      </c>
      <c r="G42" s="141" t="n">
        <f aca="false">'Stavební rozpočet'!G113</f>
        <v>16</v>
      </c>
      <c r="H42" s="142" t="n">
        <f aca="false">'Stavební rozpočet'!H113</f>
        <v>0</v>
      </c>
      <c r="I42" s="142" t="n">
        <f aca="false">ROUND(G42*AO42,2)</f>
        <v>0</v>
      </c>
      <c r="J42" s="142" t="n">
        <f aca="false">ROUND(G42*AP42,2)</f>
        <v>0</v>
      </c>
      <c r="K42" s="142" t="n">
        <f aca="false">ROUND(G42*H42,2)</f>
        <v>0</v>
      </c>
      <c r="L42" s="142" t="n">
        <f aca="false">'Stavební rozpočet'!L113</f>
        <v>0.001</v>
      </c>
      <c r="M42" s="142" t="n">
        <f aca="false">G42*L42</f>
        <v>0.016</v>
      </c>
      <c r="N42" s="143"/>
      <c r="Z42" s="88" t="n">
        <f aca="false">ROUND(IF(AQ42="5",BJ42,0),2)</f>
        <v>0</v>
      </c>
      <c r="AB42" s="88" t="n">
        <f aca="false">ROUND(IF(AQ42="1",BH42,0),2)</f>
        <v>0</v>
      </c>
      <c r="AC42" s="88" t="n">
        <f aca="false">ROUND(IF(AQ42="1",BI42,0),2)</f>
        <v>0</v>
      </c>
      <c r="AD42" s="88" t="n">
        <f aca="false">ROUND(IF(AQ42="7",BH42,0),2)</f>
        <v>0</v>
      </c>
      <c r="AE42" s="88" t="n">
        <f aca="false">ROUND(IF(AQ42="7",BI42,0),2)</f>
        <v>0</v>
      </c>
      <c r="AF42" s="88" t="n">
        <f aca="false">ROUND(IF(AQ42="2",BH42,0),2)</f>
        <v>0</v>
      </c>
      <c r="AG42" s="88" t="n">
        <f aca="false">ROUND(IF(AQ42="2",BI42,0),2)</f>
        <v>0</v>
      </c>
      <c r="AH42" s="88" t="n">
        <f aca="false">ROUND(IF(AQ42="0",BJ42,0),2)</f>
        <v>0</v>
      </c>
      <c r="AI42" s="116" t="s">
        <v>109</v>
      </c>
      <c r="AJ42" s="144" t="n">
        <f aca="false">IF(AN42=0,K42,0)</f>
        <v>0</v>
      </c>
      <c r="AK42" s="144" t="n">
        <f aca="false">IF(AN42=12,K42,0)</f>
        <v>0</v>
      </c>
      <c r="AL42" s="144" t="n">
        <f aca="false">IF(AN42=21,K42,0)</f>
        <v>0</v>
      </c>
      <c r="AN42" s="88" t="n">
        <v>21</v>
      </c>
      <c r="AO42" s="88" t="n">
        <f aca="false">H42*1</f>
        <v>0</v>
      </c>
      <c r="AP42" s="88" t="n">
        <f aca="false">H42*(1-1)</f>
        <v>0</v>
      </c>
      <c r="AQ42" s="145" t="s">
        <v>151</v>
      </c>
      <c r="AV42" s="88" t="n">
        <f aca="false">ROUND(AW42+AX42,2)</f>
        <v>0</v>
      </c>
      <c r="AW42" s="88" t="n">
        <f aca="false">ROUND(G42*AO42,2)</f>
        <v>0</v>
      </c>
      <c r="AX42" s="88" t="n">
        <f aca="false">ROUND(G42*AP42,2)</f>
        <v>0</v>
      </c>
      <c r="AY42" s="87" t="s">
        <v>389</v>
      </c>
      <c r="AZ42" s="87" t="s">
        <v>367</v>
      </c>
      <c r="BA42" s="116" t="s">
        <v>368</v>
      </c>
      <c r="BC42" s="88" t="n">
        <f aca="false">AW42+AX42</f>
        <v>0</v>
      </c>
      <c r="BD42" s="88" t="n">
        <f aca="false">H42/(100-BE42)*100</f>
        <v>0</v>
      </c>
      <c r="BE42" s="88" t="n">
        <v>0</v>
      </c>
      <c r="BF42" s="88" t="n">
        <f aca="false">M42</f>
        <v>0.016</v>
      </c>
      <c r="BH42" s="144" t="n">
        <f aca="false">G42*AO42</f>
        <v>0</v>
      </c>
      <c r="BI42" s="144" t="n">
        <f aca="false">G42*AP42</f>
        <v>0</v>
      </c>
      <c r="BJ42" s="144" t="n">
        <f aca="false">G42*H42</f>
        <v>0</v>
      </c>
      <c r="BK42" s="145" t="s">
        <v>180</v>
      </c>
      <c r="BL42" s="88" t="n">
        <v>18</v>
      </c>
      <c r="BW42" s="88" t="n">
        <v>21</v>
      </c>
      <c r="BX42" s="146" t="s">
        <v>450</v>
      </c>
    </row>
    <row r="43" customFormat="false" ht="15" hidden="false" customHeight="true" outlineLevel="0" collapsed="false">
      <c r="A43" s="139" t="s">
        <v>259</v>
      </c>
      <c r="B43" s="139" t="s">
        <v>109</v>
      </c>
      <c r="C43" s="139" t="s">
        <v>452</v>
      </c>
      <c r="D43" s="140" t="s">
        <v>453</v>
      </c>
      <c r="E43" s="140"/>
      <c r="F43" s="139" t="s">
        <v>202</v>
      </c>
      <c r="G43" s="141" t="n">
        <f aca="false">'Stavební rozpočet'!G114</f>
        <v>10</v>
      </c>
      <c r="H43" s="142" t="n">
        <f aca="false">'Stavební rozpočet'!H114</f>
        <v>0</v>
      </c>
      <c r="I43" s="142" t="n">
        <f aca="false">ROUND(G43*AO43,2)</f>
        <v>0</v>
      </c>
      <c r="J43" s="142" t="n">
        <f aca="false">ROUND(G43*AP43,2)</f>
        <v>0</v>
      </c>
      <c r="K43" s="142" t="n">
        <f aca="false">ROUND(G43*H43,2)</f>
        <v>0</v>
      </c>
      <c r="L43" s="142" t="n">
        <f aca="false">'Stavební rozpočet'!L114</f>
        <v>0.001</v>
      </c>
      <c r="M43" s="142" t="n">
        <f aca="false">G43*L43</f>
        <v>0.01</v>
      </c>
      <c r="N43" s="143"/>
      <c r="Z43" s="88" t="n">
        <f aca="false">ROUND(IF(AQ43="5",BJ43,0),2)</f>
        <v>0</v>
      </c>
      <c r="AB43" s="88" t="n">
        <f aca="false">ROUND(IF(AQ43="1",BH43,0),2)</f>
        <v>0</v>
      </c>
      <c r="AC43" s="88" t="n">
        <f aca="false">ROUND(IF(AQ43="1",BI43,0),2)</f>
        <v>0</v>
      </c>
      <c r="AD43" s="88" t="n">
        <f aca="false">ROUND(IF(AQ43="7",BH43,0),2)</f>
        <v>0</v>
      </c>
      <c r="AE43" s="88" t="n">
        <f aca="false">ROUND(IF(AQ43="7",BI43,0),2)</f>
        <v>0</v>
      </c>
      <c r="AF43" s="88" t="n">
        <f aca="false">ROUND(IF(AQ43="2",BH43,0),2)</f>
        <v>0</v>
      </c>
      <c r="AG43" s="88" t="n">
        <f aca="false">ROUND(IF(AQ43="2",BI43,0),2)</f>
        <v>0</v>
      </c>
      <c r="AH43" s="88" t="n">
        <f aca="false">ROUND(IF(AQ43="0",BJ43,0),2)</f>
        <v>0</v>
      </c>
      <c r="AI43" s="116" t="s">
        <v>109</v>
      </c>
      <c r="AJ43" s="144" t="n">
        <f aca="false">IF(AN43=0,K43,0)</f>
        <v>0</v>
      </c>
      <c r="AK43" s="144" t="n">
        <f aca="false">IF(AN43=12,K43,0)</f>
        <v>0</v>
      </c>
      <c r="AL43" s="144" t="n">
        <f aca="false">IF(AN43=21,K43,0)</f>
        <v>0</v>
      </c>
      <c r="AN43" s="88" t="n">
        <v>21</v>
      </c>
      <c r="AO43" s="88" t="n">
        <f aca="false">H43*1</f>
        <v>0</v>
      </c>
      <c r="AP43" s="88" t="n">
        <f aca="false">H43*(1-1)</f>
        <v>0</v>
      </c>
      <c r="AQ43" s="145" t="s">
        <v>151</v>
      </c>
      <c r="AV43" s="88" t="n">
        <f aca="false">ROUND(AW43+AX43,2)</f>
        <v>0</v>
      </c>
      <c r="AW43" s="88" t="n">
        <f aca="false">ROUND(G43*AO43,2)</f>
        <v>0</v>
      </c>
      <c r="AX43" s="88" t="n">
        <f aca="false">ROUND(G43*AP43,2)</f>
        <v>0</v>
      </c>
      <c r="AY43" s="87" t="s">
        <v>389</v>
      </c>
      <c r="AZ43" s="87" t="s">
        <v>367</v>
      </c>
      <c r="BA43" s="116" t="s">
        <v>368</v>
      </c>
      <c r="BC43" s="88" t="n">
        <f aca="false">AW43+AX43</f>
        <v>0</v>
      </c>
      <c r="BD43" s="88" t="n">
        <f aca="false">H43/(100-BE43)*100</f>
        <v>0</v>
      </c>
      <c r="BE43" s="88" t="n">
        <v>0</v>
      </c>
      <c r="BF43" s="88" t="n">
        <f aca="false">M43</f>
        <v>0.01</v>
      </c>
      <c r="BH43" s="144" t="n">
        <f aca="false">G43*AO43</f>
        <v>0</v>
      </c>
      <c r="BI43" s="144" t="n">
        <f aca="false">G43*AP43</f>
        <v>0</v>
      </c>
      <c r="BJ43" s="144" t="n">
        <f aca="false">G43*H43</f>
        <v>0</v>
      </c>
      <c r="BK43" s="145" t="s">
        <v>180</v>
      </c>
      <c r="BL43" s="88" t="n">
        <v>18</v>
      </c>
      <c r="BW43" s="88" t="n">
        <v>21</v>
      </c>
      <c r="BX43" s="146" t="s">
        <v>453</v>
      </c>
    </row>
    <row r="44" customFormat="false" ht="15" hidden="false" customHeight="true" outlineLevel="0" collapsed="false">
      <c r="A44" s="139" t="s">
        <v>262</v>
      </c>
      <c r="B44" s="139" t="s">
        <v>109</v>
      </c>
      <c r="C44" s="139" t="s">
        <v>454</v>
      </c>
      <c r="D44" s="140" t="s">
        <v>455</v>
      </c>
      <c r="E44" s="140"/>
      <c r="F44" s="139" t="s">
        <v>202</v>
      </c>
      <c r="G44" s="141" t="n">
        <f aca="false">'Stavební rozpočet'!G115</f>
        <v>7</v>
      </c>
      <c r="H44" s="142" t="n">
        <f aca="false">'Stavební rozpočet'!H115</f>
        <v>0</v>
      </c>
      <c r="I44" s="142" t="n">
        <f aca="false">ROUND(G44*AO44,2)</f>
        <v>0</v>
      </c>
      <c r="J44" s="142" t="n">
        <f aca="false">ROUND(G44*AP44,2)</f>
        <v>0</v>
      </c>
      <c r="K44" s="142" t="n">
        <f aca="false">ROUND(G44*H44,2)</f>
        <v>0</v>
      </c>
      <c r="L44" s="142" t="n">
        <f aca="false">'Stavební rozpočet'!L115</f>
        <v>0.001</v>
      </c>
      <c r="M44" s="142" t="n">
        <f aca="false">G44*L44</f>
        <v>0.007</v>
      </c>
      <c r="N44" s="143"/>
      <c r="Z44" s="88" t="n">
        <f aca="false">ROUND(IF(AQ44="5",BJ44,0),2)</f>
        <v>0</v>
      </c>
      <c r="AB44" s="88" t="n">
        <f aca="false">ROUND(IF(AQ44="1",BH44,0),2)</f>
        <v>0</v>
      </c>
      <c r="AC44" s="88" t="n">
        <f aca="false">ROUND(IF(AQ44="1",BI44,0),2)</f>
        <v>0</v>
      </c>
      <c r="AD44" s="88" t="n">
        <f aca="false">ROUND(IF(AQ44="7",BH44,0),2)</f>
        <v>0</v>
      </c>
      <c r="AE44" s="88" t="n">
        <f aca="false">ROUND(IF(AQ44="7",BI44,0),2)</f>
        <v>0</v>
      </c>
      <c r="AF44" s="88" t="n">
        <f aca="false">ROUND(IF(AQ44="2",BH44,0),2)</f>
        <v>0</v>
      </c>
      <c r="AG44" s="88" t="n">
        <f aca="false">ROUND(IF(AQ44="2",BI44,0),2)</f>
        <v>0</v>
      </c>
      <c r="AH44" s="88" t="n">
        <f aca="false">ROUND(IF(AQ44="0",BJ44,0),2)</f>
        <v>0</v>
      </c>
      <c r="AI44" s="116" t="s">
        <v>109</v>
      </c>
      <c r="AJ44" s="144" t="n">
        <f aca="false">IF(AN44=0,K44,0)</f>
        <v>0</v>
      </c>
      <c r="AK44" s="144" t="n">
        <f aca="false">IF(AN44=12,K44,0)</f>
        <v>0</v>
      </c>
      <c r="AL44" s="144" t="n">
        <f aca="false">IF(AN44=21,K44,0)</f>
        <v>0</v>
      </c>
      <c r="AN44" s="88" t="n">
        <v>21</v>
      </c>
      <c r="AO44" s="88" t="n">
        <f aca="false">H44*1</f>
        <v>0</v>
      </c>
      <c r="AP44" s="88" t="n">
        <f aca="false">H44*(1-1)</f>
        <v>0</v>
      </c>
      <c r="AQ44" s="145" t="s">
        <v>151</v>
      </c>
      <c r="AV44" s="88" t="n">
        <f aca="false">ROUND(AW44+AX44,2)</f>
        <v>0</v>
      </c>
      <c r="AW44" s="88" t="n">
        <f aca="false">ROUND(G44*AO44,2)</f>
        <v>0</v>
      </c>
      <c r="AX44" s="88" t="n">
        <f aca="false">ROUND(G44*AP44,2)</f>
        <v>0</v>
      </c>
      <c r="AY44" s="87" t="s">
        <v>389</v>
      </c>
      <c r="AZ44" s="87" t="s">
        <v>367</v>
      </c>
      <c r="BA44" s="116" t="s">
        <v>368</v>
      </c>
      <c r="BC44" s="88" t="n">
        <f aca="false">AW44+AX44</f>
        <v>0</v>
      </c>
      <c r="BD44" s="88" t="n">
        <f aca="false">H44/(100-BE44)*100</f>
        <v>0</v>
      </c>
      <c r="BE44" s="88" t="n">
        <v>0</v>
      </c>
      <c r="BF44" s="88" t="n">
        <f aca="false">M44</f>
        <v>0.007</v>
      </c>
      <c r="BH44" s="144" t="n">
        <f aca="false">G44*AO44</f>
        <v>0</v>
      </c>
      <c r="BI44" s="144" t="n">
        <f aca="false">G44*AP44</f>
        <v>0</v>
      </c>
      <c r="BJ44" s="144" t="n">
        <f aca="false">G44*H44</f>
        <v>0</v>
      </c>
      <c r="BK44" s="145" t="s">
        <v>180</v>
      </c>
      <c r="BL44" s="88" t="n">
        <v>18</v>
      </c>
      <c r="BW44" s="88" t="n">
        <v>21</v>
      </c>
      <c r="BX44" s="146" t="s">
        <v>455</v>
      </c>
    </row>
    <row r="45" customFormat="false" ht="15" hidden="false" customHeight="true" outlineLevel="0" collapsed="false">
      <c r="A45" s="139" t="s">
        <v>265</v>
      </c>
      <c r="B45" s="139" t="s">
        <v>109</v>
      </c>
      <c r="C45" s="139" t="s">
        <v>456</v>
      </c>
      <c r="D45" s="140" t="s">
        <v>457</v>
      </c>
      <c r="E45" s="140"/>
      <c r="F45" s="139" t="s">
        <v>202</v>
      </c>
      <c r="G45" s="141" t="n">
        <f aca="false">'Stavební rozpočet'!G116</f>
        <v>11</v>
      </c>
      <c r="H45" s="142" t="n">
        <f aca="false">'Stavební rozpočet'!H116</f>
        <v>0</v>
      </c>
      <c r="I45" s="142" t="n">
        <f aca="false">ROUND(G45*AO45,2)</f>
        <v>0</v>
      </c>
      <c r="J45" s="142" t="n">
        <f aca="false">ROUND(G45*AP45,2)</f>
        <v>0</v>
      </c>
      <c r="K45" s="142" t="n">
        <f aca="false">ROUND(G45*H45,2)</f>
        <v>0</v>
      </c>
      <c r="L45" s="142" t="n">
        <f aca="false">'Stavební rozpočet'!L116</f>
        <v>0.001</v>
      </c>
      <c r="M45" s="142" t="n">
        <f aca="false">G45*L45</f>
        <v>0.011</v>
      </c>
      <c r="N45" s="143"/>
      <c r="Z45" s="88" t="n">
        <f aca="false">ROUND(IF(AQ45="5",BJ45,0),2)</f>
        <v>0</v>
      </c>
      <c r="AB45" s="88" t="n">
        <f aca="false">ROUND(IF(AQ45="1",BH45,0),2)</f>
        <v>0</v>
      </c>
      <c r="AC45" s="88" t="n">
        <f aca="false">ROUND(IF(AQ45="1",BI45,0),2)</f>
        <v>0</v>
      </c>
      <c r="AD45" s="88" t="n">
        <f aca="false">ROUND(IF(AQ45="7",BH45,0),2)</f>
        <v>0</v>
      </c>
      <c r="AE45" s="88" t="n">
        <f aca="false">ROUND(IF(AQ45="7",BI45,0),2)</f>
        <v>0</v>
      </c>
      <c r="AF45" s="88" t="n">
        <f aca="false">ROUND(IF(AQ45="2",BH45,0),2)</f>
        <v>0</v>
      </c>
      <c r="AG45" s="88" t="n">
        <f aca="false">ROUND(IF(AQ45="2",BI45,0),2)</f>
        <v>0</v>
      </c>
      <c r="AH45" s="88" t="n">
        <f aca="false">ROUND(IF(AQ45="0",BJ45,0),2)</f>
        <v>0</v>
      </c>
      <c r="AI45" s="116" t="s">
        <v>109</v>
      </c>
      <c r="AJ45" s="144" t="n">
        <f aca="false">IF(AN45=0,K45,0)</f>
        <v>0</v>
      </c>
      <c r="AK45" s="144" t="n">
        <f aca="false">IF(AN45=12,K45,0)</f>
        <v>0</v>
      </c>
      <c r="AL45" s="144" t="n">
        <f aca="false">IF(AN45=21,K45,0)</f>
        <v>0</v>
      </c>
      <c r="AN45" s="88" t="n">
        <v>21</v>
      </c>
      <c r="AO45" s="88" t="n">
        <f aca="false">H45*1</f>
        <v>0</v>
      </c>
      <c r="AP45" s="88" t="n">
        <f aca="false">H45*(1-1)</f>
        <v>0</v>
      </c>
      <c r="AQ45" s="145" t="s">
        <v>151</v>
      </c>
      <c r="AV45" s="88" t="n">
        <f aca="false">ROUND(AW45+AX45,2)</f>
        <v>0</v>
      </c>
      <c r="AW45" s="88" t="n">
        <f aca="false">ROUND(G45*AO45,2)</f>
        <v>0</v>
      </c>
      <c r="AX45" s="88" t="n">
        <f aca="false">ROUND(G45*AP45,2)</f>
        <v>0</v>
      </c>
      <c r="AY45" s="87" t="s">
        <v>389</v>
      </c>
      <c r="AZ45" s="87" t="s">
        <v>367</v>
      </c>
      <c r="BA45" s="116" t="s">
        <v>368</v>
      </c>
      <c r="BC45" s="88" t="n">
        <f aca="false">AW45+AX45</f>
        <v>0</v>
      </c>
      <c r="BD45" s="88" t="n">
        <f aca="false">H45/(100-BE45)*100</f>
        <v>0</v>
      </c>
      <c r="BE45" s="88" t="n">
        <v>0</v>
      </c>
      <c r="BF45" s="88" t="n">
        <f aca="false">M45</f>
        <v>0.011</v>
      </c>
      <c r="BH45" s="144" t="n">
        <f aca="false">G45*AO45</f>
        <v>0</v>
      </c>
      <c r="BI45" s="144" t="n">
        <f aca="false">G45*AP45</f>
        <v>0</v>
      </c>
      <c r="BJ45" s="144" t="n">
        <f aca="false">G45*H45</f>
        <v>0</v>
      </c>
      <c r="BK45" s="145" t="s">
        <v>180</v>
      </c>
      <c r="BL45" s="88" t="n">
        <v>18</v>
      </c>
      <c r="BW45" s="88" t="n">
        <v>21</v>
      </c>
      <c r="BX45" s="146" t="s">
        <v>457</v>
      </c>
    </row>
    <row r="46" customFormat="false" ht="15" hidden="false" customHeight="true" outlineLevel="0" collapsed="false">
      <c r="A46" s="139" t="s">
        <v>268</v>
      </c>
      <c r="B46" s="139" t="s">
        <v>109</v>
      </c>
      <c r="C46" s="139" t="s">
        <v>459</v>
      </c>
      <c r="D46" s="140" t="s">
        <v>460</v>
      </c>
      <c r="E46" s="140"/>
      <c r="F46" s="139" t="s">
        <v>202</v>
      </c>
      <c r="G46" s="141" t="n">
        <f aca="false">'Stavební rozpočet'!G117</f>
        <v>9</v>
      </c>
      <c r="H46" s="142" t="n">
        <f aca="false">'Stavební rozpočet'!H117</f>
        <v>0</v>
      </c>
      <c r="I46" s="142" t="n">
        <f aca="false">ROUND(G46*AO46,2)</f>
        <v>0</v>
      </c>
      <c r="J46" s="142" t="n">
        <f aca="false">ROUND(G46*AP46,2)</f>
        <v>0</v>
      </c>
      <c r="K46" s="142" t="n">
        <f aca="false">ROUND(G46*H46,2)</f>
        <v>0</v>
      </c>
      <c r="L46" s="142" t="n">
        <f aca="false">'Stavební rozpočet'!L117</f>
        <v>0.001</v>
      </c>
      <c r="M46" s="142" t="n">
        <f aca="false">G46*L46</f>
        <v>0.009</v>
      </c>
      <c r="N46" s="143"/>
      <c r="Z46" s="88" t="n">
        <f aca="false">ROUND(IF(AQ46="5",BJ46,0),2)</f>
        <v>0</v>
      </c>
      <c r="AB46" s="88" t="n">
        <f aca="false">ROUND(IF(AQ46="1",BH46,0),2)</f>
        <v>0</v>
      </c>
      <c r="AC46" s="88" t="n">
        <f aca="false">ROUND(IF(AQ46="1",BI46,0),2)</f>
        <v>0</v>
      </c>
      <c r="AD46" s="88" t="n">
        <f aca="false">ROUND(IF(AQ46="7",BH46,0),2)</f>
        <v>0</v>
      </c>
      <c r="AE46" s="88" t="n">
        <f aca="false">ROUND(IF(AQ46="7",BI46,0),2)</f>
        <v>0</v>
      </c>
      <c r="AF46" s="88" t="n">
        <f aca="false">ROUND(IF(AQ46="2",BH46,0),2)</f>
        <v>0</v>
      </c>
      <c r="AG46" s="88" t="n">
        <f aca="false">ROUND(IF(AQ46="2",BI46,0),2)</f>
        <v>0</v>
      </c>
      <c r="AH46" s="88" t="n">
        <f aca="false">ROUND(IF(AQ46="0",BJ46,0),2)</f>
        <v>0</v>
      </c>
      <c r="AI46" s="116" t="s">
        <v>109</v>
      </c>
      <c r="AJ46" s="144" t="n">
        <f aca="false">IF(AN46=0,K46,0)</f>
        <v>0</v>
      </c>
      <c r="AK46" s="144" t="n">
        <f aca="false">IF(AN46=12,K46,0)</f>
        <v>0</v>
      </c>
      <c r="AL46" s="144" t="n">
        <f aca="false">IF(AN46=21,K46,0)</f>
        <v>0</v>
      </c>
      <c r="AN46" s="88" t="n">
        <v>21</v>
      </c>
      <c r="AO46" s="88" t="n">
        <f aca="false">H46*1</f>
        <v>0</v>
      </c>
      <c r="AP46" s="88" t="n">
        <f aca="false">H46*(1-1)</f>
        <v>0</v>
      </c>
      <c r="AQ46" s="145" t="s">
        <v>151</v>
      </c>
      <c r="AV46" s="88" t="n">
        <f aca="false">ROUND(AW46+AX46,2)</f>
        <v>0</v>
      </c>
      <c r="AW46" s="88" t="n">
        <f aca="false">ROUND(G46*AO46,2)</f>
        <v>0</v>
      </c>
      <c r="AX46" s="88" t="n">
        <f aca="false">ROUND(G46*AP46,2)</f>
        <v>0</v>
      </c>
      <c r="AY46" s="87" t="s">
        <v>389</v>
      </c>
      <c r="AZ46" s="87" t="s">
        <v>367</v>
      </c>
      <c r="BA46" s="116" t="s">
        <v>368</v>
      </c>
      <c r="BC46" s="88" t="n">
        <f aca="false">AW46+AX46</f>
        <v>0</v>
      </c>
      <c r="BD46" s="88" t="n">
        <f aca="false">H46/(100-BE46)*100</f>
        <v>0</v>
      </c>
      <c r="BE46" s="88" t="n">
        <v>0</v>
      </c>
      <c r="BF46" s="88" t="n">
        <f aca="false">M46</f>
        <v>0.009</v>
      </c>
      <c r="BH46" s="144" t="n">
        <f aca="false">G46*AO46</f>
        <v>0</v>
      </c>
      <c r="BI46" s="144" t="n">
        <f aca="false">G46*AP46</f>
        <v>0</v>
      </c>
      <c r="BJ46" s="144" t="n">
        <f aca="false">G46*H46</f>
        <v>0</v>
      </c>
      <c r="BK46" s="145" t="s">
        <v>180</v>
      </c>
      <c r="BL46" s="88" t="n">
        <v>18</v>
      </c>
      <c r="BW46" s="88" t="n">
        <v>21</v>
      </c>
      <c r="BX46" s="146" t="s">
        <v>460</v>
      </c>
    </row>
    <row r="47" customFormat="false" ht="15" hidden="false" customHeight="true" outlineLevel="0" collapsed="false">
      <c r="A47" s="139" t="s">
        <v>270</v>
      </c>
      <c r="B47" s="139" t="s">
        <v>109</v>
      </c>
      <c r="C47" s="139" t="s">
        <v>462</v>
      </c>
      <c r="D47" s="140" t="s">
        <v>463</v>
      </c>
      <c r="E47" s="140"/>
      <c r="F47" s="139" t="s">
        <v>202</v>
      </c>
      <c r="G47" s="141" t="n">
        <f aca="false">'Stavební rozpočet'!G118</f>
        <v>3</v>
      </c>
      <c r="H47" s="142" t="n">
        <f aca="false">'Stavební rozpočet'!H118</f>
        <v>0</v>
      </c>
      <c r="I47" s="142" t="n">
        <f aca="false">ROUND(G47*AO47,2)</f>
        <v>0</v>
      </c>
      <c r="J47" s="142" t="n">
        <f aca="false">ROUND(G47*AP47,2)</f>
        <v>0</v>
      </c>
      <c r="K47" s="142" t="n">
        <f aca="false">ROUND(G47*H47,2)</f>
        <v>0</v>
      </c>
      <c r="L47" s="142" t="n">
        <f aca="false">'Stavební rozpočet'!L118</f>
        <v>0.001</v>
      </c>
      <c r="M47" s="142" t="n">
        <f aca="false">G47*L47</f>
        <v>0.003</v>
      </c>
      <c r="N47" s="143"/>
      <c r="Z47" s="88" t="n">
        <f aca="false">ROUND(IF(AQ47="5",BJ47,0),2)</f>
        <v>0</v>
      </c>
      <c r="AB47" s="88" t="n">
        <f aca="false">ROUND(IF(AQ47="1",BH47,0),2)</f>
        <v>0</v>
      </c>
      <c r="AC47" s="88" t="n">
        <f aca="false">ROUND(IF(AQ47="1",BI47,0),2)</f>
        <v>0</v>
      </c>
      <c r="AD47" s="88" t="n">
        <f aca="false">ROUND(IF(AQ47="7",BH47,0),2)</f>
        <v>0</v>
      </c>
      <c r="AE47" s="88" t="n">
        <f aca="false">ROUND(IF(AQ47="7",BI47,0),2)</f>
        <v>0</v>
      </c>
      <c r="AF47" s="88" t="n">
        <f aca="false">ROUND(IF(AQ47="2",BH47,0),2)</f>
        <v>0</v>
      </c>
      <c r="AG47" s="88" t="n">
        <f aca="false">ROUND(IF(AQ47="2",BI47,0),2)</f>
        <v>0</v>
      </c>
      <c r="AH47" s="88" t="n">
        <f aca="false">ROUND(IF(AQ47="0",BJ47,0),2)</f>
        <v>0</v>
      </c>
      <c r="AI47" s="116" t="s">
        <v>109</v>
      </c>
      <c r="AJ47" s="144" t="n">
        <f aca="false">IF(AN47=0,K47,0)</f>
        <v>0</v>
      </c>
      <c r="AK47" s="144" t="n">
        <f aca="false">IF(AN47=12,K47,0)</f>
        <v>0</v>
      </c>
      <c r="AL47" s="144" t="n">
        <f aca="false">IF(AN47=21,K47,0)</f>
        <v>0</v>
      </c>
      <c r="AN47" s="88" t="n">
        <v>21</v>
      </c>
      <c r="AO47" s="88" t="n">
        <f aca="false">H47*1</f>
        <v>0</v>
      </c>
      <c r="AP47" s="88" t="n">
        <f aca="false">H47*(1-1)</f>
        <v>0</v>
      </c>
      <c r="AQ47" s="145" t="s">
        <v>151</v>
      </c>
      <c r="AV47" s="88" t="n">
        <f aca="false">ROUND(AW47+AX47,2)</f>
        <v>0</v>
      </c>
      <c r="AW47" s="88" t="n">
        <f aca="false">ROUND(G47*AO47,2)</f>
        <v>0</v>
      </c>
      <c r="AX47" s="88" t="n">
        <f aca="false">ROUND(G47*AP47,2)</f>
        <v>0</v>
      </c>
      <c r="AY47" s="87" t="s">
        <v>389</v>
      </c>
      <c r="AZ47" s="87" t="s">
        <v>367</v>
      </c>
      <c r="BA47" s="116" t="s">
        <v>368</v>
      </c>
      <c r="BC47" s="88" t="n">
        <f aca="false">AW47+AX47</f>
        <v>0</v>
      </c>
      <c r="BD47" s="88" t="n">
        <f aca="false">H47/(100-BE47)*100</f>
        <v>0</v>
      </c>
      <c r="BE47" s="88" t="n">
        <v>0</v>
      </c>
      <c r="BF47" s="88" t="n">
        <f aca="false">M47</f>
        <v>0.003</v>
      </c>
      <c r="BH47" s="144" t="n">
        <f aca="false">G47*AO47</f>
        <v>0</v>
      </c>
      <c r="BI47" s="144" t="n">
        <f aca="false">G47*AP47</f>
        <v>0</v>
      </c>
      <c r="BJ47" s="144" t="n">
        <f aca="false">G47*H47</f>
        <v>0</v>
      </c>
      <c r="BK47" s="145" t="s">
        <v>180</v>
      </c>
      <c r="BL47" s="88" t="n">
        <v>18</v>
      </c>
      <c r="BW47" s="88" t="n">
        <v>21</v>
      </c>
      <c r="BX47" s="146" t="s">
        <v>463</v>
      </c>
    </row>
    <row r="48" customFormat="false" ht="15" hidden="false" customHeight="true" outlineLevel="0" collapsed="false">
      <c r="A48" s="139" t="s">
        <v>271</v>
      </c>
      <c r="B48" s="139" t="s">
        <v>109</v>
      </c>
      <c r="C48" s="139" t="s">
        <v>465</v>
      </c>
      <c r="D48" s="140" t="s">
        <v>466</v>
      </c>
      <c r="E48" s="140"/>
      <c r="F48" s="139" t="s">
        <v>202</v>
      </c>
      <c r="G48" s="141" t="n">
        <f aca="false">'Stavební rozpočet'!G119</f>
        <v>5</v>
      </c>
      <c r="H48" s="142" t="n">
        <f aca="false">'Stavební rozpočet'!H119</f>
        <v>0</v>
      </c>
      <c r="I48" s="142" t="n">
        <f aca="false">ROUND(G48*AO48,2)</f>
        <v>0</v>
      </c>
      <c r="J48" s="142" t="n">
        <f aca="false">ROUND(G48*AP48,2)</f>
        <v>0</v>
      </c>
      <c r="K48" s="142" t="n">
        <f aca="false">ROUND(G48*H48,2)</f>
        <v>0</v>
      </c>
      <c r="L48" s="142" t="n">
        <f aca="false">'Stavební rozpočet'!L119</f>
        <v>0.001</v>
      </c>
      <c r="M48" s="142" t="n">
        <f aca="false">G48*L48</f>
        <v>0.005</v>
      </c>
      <c r="N48" s="143"/>
      <c r="Z48" s="88" t="n">
        <f aca="false">ROUND(IF(AQ48="5",BJ48,0),2)</f>
        <v>0</v>
      </c>
      <c r="AB48" s="88" t="n">
        <f aca="false">ROUND(IF(AQ48="1",BH48,0),2)</f>
        <v>0</v>
      </c>
      <c r="AC48" s="88" t="n">
        <f aca="false">ROUND(IF(AQ48="1",BI48,0),2)</f>
        <v>0</v>
      </c>
      <c r="AD48" s="88" t="n">
        <f aca="false">ROUND(IF(AQ48="7",BH48,0),2)</f>
        <v>0</v>
      </c>
      <c r="AE48" s="88" t="n">
        <f aca="false">ROUND(IF(AQ48="7",BI48,0),2)</f>
        <v>0</v>
      </c>
      <c r="AF48" s="88" t="n">
        <f aca="false">ROUND(IF(AQ48="2",BH48,0),2)</f>
        <v>0</v>
      </c>
      <c r="AG48" s="88" t="n">
        <f aca="false">ROUND(IF(AQ48="2",BI48,0),2)</f>
        <v>0</v>
      </c>
      <c r="AH48" s="88" t="n">
        <f aca="false">ROUND(IF(AQ48="0",BJ48,0),2)</f>
        <v>0</v>
      </c>
      <c r="AI48" s="116" t="s">
        <v>109</v>
      </c>
      <c r="AJ48" s="144" t="n">
        <f aca="false">IF(AN48=0,K48,0)</f>
        <v>0</v>
      </c>
      <c r="AK48" s="144" t="n">
        <f aca="false">IF(AN48=12,K48,0)</f>
        <v>0</v>
      </c>
      <c r="AL48" s="144" t="n">
        <f aca="false">IF(AN48=21,K48,0)</f>
        <v>0</v>
      </c>
      <c r="AN48" s="88" t="n">
        <v>21</v>
      </c>
      <c r="AO48" s="88" t="n">
        <f aca="false">H48*1</f>
        <v>0</v>
      </c>
      <c r="AP48" s="88" t="n">
        <f aca="false">H48*(1-1)</f>
        <v>0</v>
      </c>
      <c r="AQ48" s="145" t="s">
        <v>151</v>
      </c>
      <c r="AV48" s="88" t="n">
        <f aca="false">ROUND(AW48+AX48,2)</f>
        <v>0</v>
      </c>
      <c r="AW48" s="88" t="n">
        <f aca="false">ROUND(G48*AO48,2)</f>
        <v>0</v>
      </c>
      <c r="AX48" s="88" t="n">
        <f aca="false">ROUND(G48*AP48,2)</f>
        <v>0</v>
      </c>
      <c r="AY48" s="87" t="s">
        <v>389</v>
      </c>
      <c r="AZ48" s="87" t="s">
        <v>367</v>
      </c>
      <c r="BA48" s="116" t="s">
        <v>368</v>
      </c>
      <c r="BC48" s="88" t="n">
        <f aca="false">AW48+AX48</f>
        <v>0</v>
      </c>
      <c r="BD48" s="88" t="n">
        <f aca="false">H48/(100-BE48)*100</f>
        <v>0</v>
      </c>
      <c r="BE48" s="88" t="n">
        <v>0</v>
      </c>
      <c r="BF48" s="88" t="n">
        <f aca="false">M48</f>
        <v>0.005</v>
      </c>
      <c r="BH48" s="144" t="n">
        <f aca="false">G48*AO48</f>
        <v>0</v>
      </c>
      <c r="BI48" s="144" t="n">
        <f aca="false">G48*AP48</f>
        <v>0</v>
      </c>
      <c r="BJ48" s="144" t="n">
        <f aca="false">G48*H48</f>
        <v>0</v>
      </c>
      <c r="BK48" s="145" t="s">
        <v>180</v>
      </c>
      <c r="BL48" s="88" t="n">
        <v>18</v>
      </c>
      <c r="BW48" s="88" t="n">
        <v>21</v>
      </c>
      <c r="BX48" s="146" t="s">
        <v>466</v>
      </c>
    </row>
    <row r="49" customFormat="false" ht="15" hidden="false" customHeight="true" outlineLevel="0" collapsed="false">
      <c r="A49" s="139" t="s">
        <v>276</v>
      </c>
      <c r="B49" s="139" t="s">
        <v>109</v>
      </c>
      <c r="C49" s="139" t="s">
        <v>468</v>
      </c>
      <c r="D49" s="140" t="s">
        <v>469</v>
      </c>
      <c r="E49" s="140"/>
      <c r="F49" s="139" t="s">
        <v>202</v>
      </c>
      <c r="G49" s="141" t="n">
        <f aca="false">'Stavební rozpočet'!G120</f>
        <v>7</v>
      </c>
      <c r="H49" s="142" t="n">
        <f aca="false">'Stavební rozpočet'!H120</f>
        <v>0</v>
      </c>
      <c r="I49" s="142" t="n">
        <f aca="false">ROUND(G49*AO49,2)</f>
        <v>0</v>
      </c>
      <c r="J49" s="142" t="n">
        <f aca="false">ROUND(G49*AP49,2)</f>
        <v>0</v>
      </c>
      <c r="K49" s="142" t="n">
        <f aca="false">ROUND(G49*H49,2)</f>
        <v>0</v>
      </c>
      <c r="L49" s="142" t="n">
        <f aca="false">'Stavební rozpočet'!L120</f>
        <v>0.001</v>
      </c>
      <c r="M49" s="142" t="n">
        <f aca="false">G49*L49</f>
        <v>0.007</v>
      </c>
      <c r="N49" s="143"/>
      <c r="Z49" s="88" t="n">
        <f aca="false">ROUND(IF(AQ49="5",BJ49,0),2)</f>
        <v>0</v>
      </c>
      <c r="AB49" s="88" t="n">
        <f aca="false">ROUND(IF(AQ49="1",BH49,0),2)</f>
        <v>0</v>
      </c>
      <c r="AC49" s="88" t="n">
        <f aca="false">ROUND(IF(AQ49="1",BI49,0),2)</f>
        <v>0</v>
      </c>
      <c r="AD49" s="88" t="n">
        <f aca="false">ROUND(IF(AQ49="7",BH49,0),2)</f>
        <v>0</v>
      </c>
      <c r="AE49" s="88" t="n">
        <f aca="false">ROUND(IF(AQ49="7",BI49,0),2)</f>
        <v>0</v>
      </c>
      <c r="AF49" s="88" t="n">
        <f aca="false">ROUND(IF(AQ49="2",BH49,0),2)</f>
        <v>0</v>
      </c>
      <c r="AG49" s="88" t="n">
        <f aca="false">ROUND(IF(AQ49="2",BI49,0),2)</f>
        <v>0</v>
      </c>
      <c r="AH49" s="88" t="n">
        <f aca="false">ROUND(IF(AQ49="0",BJ49,0),2)</f>
        <v>0</v>
      </c>
      <c r="AI49" s="116" t="s">
        <v>109</v>
      </c>
      <c r="AJ49" s="144" t="n">
        <f aca="false">IF(AN49=0,K49,0)</f>
        <v>0</v>
      </c>
      <c r="AK49" s="144" t="n">
        <f aca="false">IF(AN49=12,K49,0)</f>
        <v>0</v>
      </c>
      <c r="AL49" s="144" t="n">
        <f aca="false">IF(AN49=21,K49,0)</f>
        <v>0</v>
      </c>
      <c r="AN49" s="88" t="n">
        <v>21</v>
      </c>
      <c r="AO49" s="88" t="n">
        <f aca="false">H49*1</f>
        <v>0</v>
      </c>
      <c r="AP49" s="88" t="n">
        <f aca="false">H49*(1-1)</f>
        <v>0</v>
      </c>
      <c r="AQ49" s="145" t="s">
        <v>151</v>
      </c>
      <c r="AV49" s="88" t="n">
        <f aca="false">ROUND(AW49+AX49,2)</f>
        <v>0</v>
      </c>
      <c r="AW49" s="88" t="n">
        <f aca="false">ROUND(G49*AO49,2)</f>
        <v>0</v>
      </c>
      <c r="AX49" s="88" t="n">
        <f aca="false">ROUND(G49*AP49,2)</f>
        <v>0</v>
      </c>
      <c r="AY49" s="87" t="s">
        <v>389</v>
      </c>
      <c r="AZ49" s="87" t="s">
        <v>367</v>
      </c>
      <c r="BA49" s="116" t="s">
        <v>368</v>
      </c>
      <c r="BC49" s="88" t="n">
        <f aca="false">AW49+AX49</f>
        <v>0</v>
      </c>
      <c r="BD49" s="88" t="n">
        <f aca="false">H49/(100-BE49)*100</f>
        <v>0</v>
      </c>
      <c r="BE49" s="88" t="n">
        <v>0</v>
      </c>
      <c r="BF49" s="88" t="n">
        <f aca="false">M49</f>
        <v>0.007</v>
      </c>
      <c r="BH49" s="144" t="n">
        <f aca="false">G49*AO49</f>
        <v>0</v>
      </c>
      <c r="BI49" s="144" t="n">
        <f aca="false">G49*AP49</f>
        <v>0</v>
      </c>
      <c r="BJ49" s="144" t="n">
        <f aca="false">G49*H49</f>
        <v>0</v>
      </c>
      <c r="BK49" s="145" t="s">
        <v>180</v>
      </c>
      <c r="BL49" s="88" t="n">
        <v>18</v>
      </c>
      <c r="BW49" s="88" t="n">
        <v>21</v>
      </c>
      <c r="BX49" s="146" t="s">
        <v>469</v>
      </c>
    </row>
    <row r="50" customFormat="false" ht="15" hidden="false" customHeight="true" outlineLevel="0" collapsed="false">
      <c r="A50" s="139" t="s">
        <v>281</v>
      </c>
      <c r="B50" s="139" t="s">
        <v>109</v>
      </c>
      <c r="C50" s="139" t="s">
        <v>470</v>
      </c>
      <c r="D50" s="140" t="s">
        <v>435</v>
      </c>
      <c r="E50" s="140"/>
      <c r="F50" s="139" t="s">
        <v>202</v>
      </c>
      <c r="G50" s="141" t="n">
        <f aca="false">'Stavební rozpočet'!G121</f>
        <v>6</v>
      </c>
      <c r="H50" s="142" t="n">
        <f aca="false">'Stavební rozpočet'!H121</f>
        <v>0</v>
      </c>
      <c r="I50" s="142" t="n">
        <f aca="false">ROUND(G50*AO50,2)</f>
        <v>0</v>
      </c>
      <c r="J50" s="142" t="n">
        <f aca="false">ROUND(G50*AP50,2)</f>
        <v>0</v>
      </c>
      <c r="K50" s="142" t="n">
        <f aca="false">ROUND(G50*H50,2)</f>
        <v>0</v>
      </c>
      <c r="L50" s="142" t="n">
        <f aca="false">'Stavební rozpočet'!L121</f>
        <v>0.001</v>
      </c>
      <c r="M50" s="142" t="n">
        <f aca="false">G50*L50</f>
        <v>0.006</v>
      </c>
      <c r="N50" s="143"/>
      <c r="Z50" s="88" t="n">
        <f aca="false">ROUND(IF(AQ50="5",BJ50,0),2)</f>
        <v>0</v>
      </c>
      <c r="AB50" s="88" t="n">
        <f aca="false">ROUND(IF(AQ50="1",BH50,0),2)</f>
        <v>0</v>
      </c>
      <c r="AC50" s="88" t="n">
        <f aca="false">ROUND(IF(AQ50="1",BI50,0),2)</f>
        <v>0</v>
      </c>
      <c r="AD50" s="88" t="n">
        <f aca="false">ROUND(IF(AQ50="7",BH50,0),2)</f>
        <v>0</v>
      </c>
      <c r="AE50" s="88" t="n">
        <f aca="false">ROUND(IF(AQ50="7",BI50,0),2)</f>
        <v>0</v>
      </c>
      <c r="AF50" s="88" t="n">
        <f aca="false">ROUND(IF(AQ50="2",BH50,0),2)</f>
        <v>0</v>
      </c>
      <c r="AG50" s="88" t="n">
        <f aca="false">ROUND(IF(AQ50="2",BI50,0),2)</f>
        <v>0</v>
      </c>
      <c r="AH50" s="88" t="n">
        <f aca="false">ROUND(IF(AQ50="0",BJ50,0),2)</f>
        <v>0</v>
      </c>
      <c r="AI50" s="116" t="s">
        <v>109</v>
      </c>
      <c r="AJ50" s="144" t="n">
        <f aca="false">IF(AN50=0,K50,0)</f>
        <v>0</v>
      </c>
      <c r="AK50" s="144" t="n">
        <f aca="false">IF(AN50=12,K50,0)</f>
        <v>0</v>
      </c>
      <c r="AL50" s="144" t="n">
        <f aca="false">IF(AN50=21,K50,0)</f>
        <v>0</v>
      </c>
      <c r="AN50" s="88" t="n">
        <v>21</v>
      </c>
      <c r="AO50" s="88" t="n">
        <f aca="false">H50*1</f>
        <v>0</v>
      </c>
      <c r="AP50" s="88" t="n">
        <f aca="false">H50*(1-1)</f>
        <v>0</v>
      </c>
      <c r="AQ50" s="145" t="s">
        <v>151</v>
      </c>
      <c r="AV50" s="88" t="n">
        <f aca="false">ROUND(AW50+AX50,2)</f>
        <v>0</v>
      </c>
      <c r="AW50" s="88" t="n">
        <f aca="false">ROUND(G50*AO50,2)</f>
        <v>0</v>
      </c>
      <c r="AX50" s="88" t="n">
        <f aca="false">ROUND(G50*AP50,2)</f>
        <v>0</v>
      </c>
      <c r="AY50" s="87" t="s">
        <v>389</v>
      </c>
      <c r="AZ50" s="87" t="s">
        <v>367</v>
      </c>
      <c r="BA50" s="116" t="s">
        <v>368</v>
      </c>
      <c r="BC50" s="88" t="n">
        <f aca="false">AW50+AX50</f>
        <v>0</v>
      </c>
      <c r="BD50" s="88" t="n">
        <f aca="false">H50/(100-BE50)*100</f>
        <v>0</v>
      </c>
      <c r="BE50" s="88" t="n">
        <v>0</v>
      </c>
      <c r="BF50" s="88" t="n">
        <f aca="false">M50</f>
        <v>0.006</v>
      </c>
      <c r="BH50" s="144" t="n">
        <f aca="false">G50*AO50</f>
        <v>0</v>
      </c>
      <c r="BI50" s="144" t="n">
        <f aca="false">G50*AP50</f>
        <v>0</v>
      </c>
      <c r="BJ50" s="144" t="n">
        <f aca="false">G50*H50</f>
        <v>0</v>
      </c>
      <c r="BK50" s="145" t="s">
        <v>180</v>
      </c>
      <c r="BL50" s="88" t="n">
        <v>18</v>
      </c>
      <c r="BW50" s="88" t="n">
        <v>21</v>
      </c>
      <c r="BX50" s="146" t="s">
        <v>435</v>
      </c>
    </row>
    <row r="51" customFormat="false" ht="24.05" hidden="false" customHeight="true" outlineLevel="0" collapsed="false">
      <c r="A51" s="134" t="s">
        <v>284</v>
      </c>
      <c r="B51" s="134" t="s">
        <v>109</v>
      </c>
      <c r="C51" s="134" t="s">
        <v>391</v>
      </c>
      <c r="D51" s="135" t="s">
        <v>471</v>
      </c>
      <c r="E51" s="135"/>
      <c r="F51" s="134" t="s">
        <v>202</v>
      </c>
      <c r="G51" s="136" t="n">
        <f aca="false">'Stavební rozpočet'!G122</f>
        <v>340</v>
      </c>
      <c r="H51" s="137" t="n">
        <f aca="false">'Stavební rozpočet'!H122</f>
        <v>0</v>
      </c>
      <c r="I51" s="137" t="n">
        <f aca="false">ROUND(G51*AO51,2)</f>
        <v>0</v>
      </c>
      <c r="J51" s="137" t="n">
        <f aca="false">ROUND(G51*AP51,2)</f>
        <v>0</v>
      </c>
      <c r="K51" s="137" t="n">
        <f aca="false">ROUND(G51*H51,2)</f>
        <v>0</v>
      </c>
      <c r="L51" s="137" t="n">
        <f aca="false">'Stavební rozpočet'!L122</f>
        <v>0</v>
      </c>
      <c r="M51" s="137" t="n">
        <f aca="false">G51*L51</f>
        <v>0</v>
      </c>
      <c r="N51" s="138" t="s">
        <v>155</v>
      </c>
      <c r="Z51" s="88" t="n">
        <f aca="false">ROUND(IF(AQ51="5",BJ51,0),2)</f>
        <v>0</v>
      </c>
      <c r="AB51" s="88" t="n">
        <f aca="false">ROUND(IF(AQ51="1",BH51,0),2)</f>
        <v>0</v>
      </c>
      <c r="AC51" s="88" t="n">
        <f aca="false">ROUND(IF(AQ51="1",BI51,0),2)</f>
        <v>0</v>
      </c>
      <c r="AD51" s="88" t="n">
        <f aca="false">ROUND(IF(AQ51="7",BH51,0),2)</f>
        <v>0</v>
      </c>
      <c r="AE51" s="88" t="n">
        <f aca="false">ROUND(IF(AQ51="7",BI51,0),2)</f>
        <v>0</v>
      </c>
      <c r="AF51" s="88" t="n">
        <f aca="false">ROUND(IF(AQ51="2",BH51,0),2)</f>
        <v>0</v>
      </c>
      <c r="AG51" s="88" t="n">
        <f aca="false">ROUND(IF(AQ51="2",BI51,0),2)</f>
        <v>0</v>
      </c>
      <c r="AH51" s="88" t="n">
        <f aca="false">ROUND(IF(AQ51="0",BJ51,0),2)</f>
        <v>0</v>
      </c>
      <c r="AI51" s="116" t="s">
        <v>109</v>
      </c>
      <c r="AJ51" s="88" t="n">
        <f aca="false">IF(AN51=0,K51,0)</f>
        <v>0</v>
      </c>
      <c r="AK51" s="88" t="n">
        <f aca="false">IF(AN51=12,K51,0)</f>
        <v>0</v>
      </c>
      <c r="AL51" s="88" t="n">
        <f aca="false">IF(AN51=21,K51,0)</f>
        <v>0</v>
      </c>
      <c r="AN51" s="88" t="n">
        <v>21</v>
      </c>
      <c r="AO51" s="88" t="n">
        <f aca="false">H51*0</f>
        <v>0</v>
      </c>
      <c r="AP51" s="88" t="n">
        <f aca="false">H51*(1-0)</f>
        <v>0</v>
      </c>
      <c r="AQ51" s="87" t="s">
        <v>151</v>
      </c>
      <c r="AV51" s="88" t="n">
        <f aca="false">ROUND(AW51+AX51,2)</f>
        <v>0</v>
      </c>
      <c r="AW51" s="88" t="n">
        <f aca="false">ROUND(G51*AO51,2)</f>
        <v>0</v>
      </c>
      <c r="AX51" s="88" t="n">
        <f aca="false">ROUND(G51*AP51,2)</f>
        <v>0</v>
      </c>
      <c r="AY51" s="87" t="s">
        <v>389</v>
      </c>
      <c r="AZ51" s="87" t="s">
        <v>367</v>
      </c>
      <c r="BA51" s="116" t="s">
        <v>368</v>
      </c>
      <c r="BC51" s="88" t="n">
        <f aca="false">AW51+AX51</f>
        <v>0</v>
      </c>
      <c r="BD51" s="88" t="n">
        <f aca="false">H51/(100-BE51)*100</f>
        <v>0</v>
      </c>
      <c r="BE51" s="88" t="n">
        <v>0</v>
      </c>
      <c r="BF51" s="88" t="n">
        <f aca="false">M51</f>
        <v>0</v>
      </c>
      <c r="BH51" s="88" t="n">
        <f aca="false">G51*AO51</f>
        <v>0</v>
      </c>
      <c r="BI51" s="88" t="n">
        <f aca="false">G51*AP51</f>
        <v>0</v>
      </c>
      <c r="BJ51" s="88" t="n">
        <f aca="false">G51*H51</f>
        <v>0</v>
      </c>
      <c r="BK51" s="87" t="s">
        <v>159</v>
      </c>
      <c r="BL51" s="88" t="n">
        <v>18</v>
      </c>
      <c r="BW51" s="88" t="n">
        <v>21</v>
      </c>
      <c r="BX51" s="9" t="s">
        <v>471</v>
      </c>
    </row>
    <row r="52" customFormat="false" ht="15" hidden="false" customHeight="true" outlineLevel="0" collapsed="false">
      <c r="A52" s="134" t="s">
        <v>287</v>
      </c>
      <c r="B52" s="134" t="s">
        <v>109</v>
      </c>
      <c r="C52" s="134" t="s">
        <v>473</v>
      </c>
      <c r="D52" s="135" t="s">
        <v>474</v>
      </c>
      <c r="E52" s="135"/>
      <c r="F52" s="134" t="s">
        <v>202</v>
      </c>
      <c r="G52" s="136" t="n">
        <f aca="false">'Stavební rozpočet'!G123</f>
        <v>340</v>
      </c>
      <c r="H52" s="137" t="n">
        <f aca="false">'Stavební rozpočet'!H123</f>
        <v>0</v>
      </c>
      <c r="I52" s="137" t="n">
        <f aca="false">ROUND(G52*AO52,2)</f>
        <v>0</v>
      </c>
      <c r="J52" s="137" t="n">
        <f aca="false">ROUND(G52*AP52,2)</f>
        <v>0</v>
      </c>
      <c r="K52" s="137" t="n">
        <f aca="false">ROUND(G52*H52,2)</f>
        <v>0</v>
      </c>
      <c r="L52" s="137" t="n">
        <f aca="false">'Stavební rozpočet'!L123</f>
        <v>0</v>
      </c>
      <c r="M52" s="137" t="n">
        <f aca="false">G52*L52</f>
        <v>0</v>
      </c>
      <c r="N52" s="138" t="s">
        <v>155</v>
      </c>
      <c r="Z52" s="88" t="n">
        <f aca="false">ROUND(IF(AQ52="5",BJ52,0),2)</f>
        <v>0</v>
      </c>
      <c r="AB52" s="88" t="n">
        <f aca="false">ROUND(IF(AQ52="1",BH52,0),2)</f>
        <v>0</v>
      </c>
      <c r="AC52" s="88" t="n">
        <f aca="false">ROUND(IF(AQ52="1",BI52,0),2)</f>
        <v>0</v>
      </c>
      <c r="AD52" s="88" t="n">
        <f aca="false">ROUND(IF(AQ52="7",BH52,0),2)</f>
        <v>0</v>
      </c>
      <c r="AE52" s="88" t="n">
        <f aca="false">ROUND(IF(AQ52="7",BI52,0),2)</f>
        <v>0</v>
      </c>
      <c r="AF52" s="88" t="n">
        <f aca="false">ROUND(IF(AQ52="2",BH52,0),2)</f>
        <v>0</v>
      </c>
      <c r="AG52" s="88" t="n">
        <f aca="false">ROUND(IF(AQ52="2",BI52,0),2)</f>
        <v>0</v>
      </c>
      <c r="AH52" s="88" t="n">
        <f aca="false">ROUND(IF(AQ52="0",BJ52,0),2)</f>
        <v>0</v>
      </c>
      <c r="AI52" s="116" t="s">
        <v>109</v>
      </c>
      <c r="AJ52" s="88" t="n">
        <f aca="false">IF(AN52=0,K52,0)</f>
        <v>0</v>
      </c>
      <c r="AK52" s="88" t="n">
        <f aca="false">IF(AN52=12,K52,0)</f>
        <v>0</v>
      </c>
      <c r="AL52" s="88" t="n">
        <f aca="false">IF(AN52=21,K52,0)</f>
        <v>0</v>
      </c>
      <c r="AN52" s="88" t="n">
        <v>21</v>
      </c>
      <c r="AO52" s="88" t="n">
        <f aca="false">H52*0.016</f>
        <v>0</v>
      </c>
      <c r="AP52" s="88" t="n">
        <f aca="false">H52*(1-0.016)</f>
        <v>0</v>
      </c>
      <c r="AQ52" s="87" t="s">
        <v>151</v>
      </c>
      <c r="AV52" s="88" t="n">
        <f aca="false">ROUND(AW52+AX52,2)</f>
        <v>0</v>
      </c>
      <c r="AW52" s="88" t="n">
        <f aca="false">ROUND(G52*AO52,2)</f>
        <v>0</v>
      </c>
      <c r="AX52" s="88" t="n">
        <f aca="false">ROUND(G52*AP52,2)</f>
        <v>0</v>
      </c>
      <c r="AY52" s="87" t="s">
        <v>389</v>
      </c>
      <c r="AZ52" s="87" t="s">
        <v>367</v>
      </c>
      <c r="BA52" s="116" t="s">
        <v>368</v>
      </c>
      <c r="BC52" s="88" t="n">
        <f aca="false">AW52+AX52</f>
        <v>0</v>
      </c>
      <c r="BD52" s="88" t="n">
        <f aca="false">H52/(100-BE52)*100</f>
        <v>0</v>
      </c>
      <c r="BE52" s="88" t="n">
        <v>0</v>
      </c>
      <c r="BF52" s="88" t="n">
        <f aca="false">M52</f>
        <v>0</v>
      </c>
      <c r="BH52" s="88" t="n">
        <f aca="false">G52*AO52</f>
        <v>0</v>
      </c>
      <c r="BI52" s="88" t="n">
        <f aca="false">G52*AP52</f>
        <v>0</v>
      </c>
      <c r="BJ52" s="88" t="n">
        <f aca="false">G52*H52</f>
        <v>0</v>
      </c>
      <c r="BK52" s="87" t="s">
        <v>159</v>
      </c>
      <c r="BL52" s="88" t="n">
        <v>18</v>
      </c>
      <c r="BW52" s="88" t="n">
        <v>21</v>
      </c>
      <c r="BX52" s="9" t="s">
        <v>474</v>
      </c>
    </row>
    <row r="53" customFormat="false" ht="15" hidden="false" customHeight="true" outlineLevel="0" collapsed="false">
      <c r="A53" s="139" t="s">
        <v>290</v>
      </c>
      <c r="B53" s="139" t="s">
        <v>109</v>
      </c>
      <c r="C53" s="139" t="s">
        <v>476</v>
      </c>
      <c r="D53" s="140" t="s">
        <v>477</v>
      </c>
      <c r="E53" s="140"/>
      <c r="F53" s="139" t="s">
        <v>202</v>
      </c>
      <c r="G53" s="141" t="n">
        <f aca="false">'Stavební rozpočet'!G124</f>
        <v>50</v>
      </c>
      <c r="H53" s="142" t="n">
        <f aca="false">'Stavební rozpočet'!H124</f>
        <v>0</v>
      </c>
      <c r="I53" s="142" t="n">
        <f aca="false">ROUND(G53*AO53,2)</f>
        <v>0</v>
      </c>
      <c r="J53" s="142" t="n">
        <f aca="false">ROUND(G53*AP53,2)</f>
        <v>0</v>
      </c>
      <c r="K53" s="142" t="n">
        <f aca="false">ROUND(G53*H53,2)</f>
        <v>0</v>
      </c>
      <c r="L53" s="142" t="n">
        <f aca="false">'Stavební rozpočet'!L124</f>
        <v>0.001</v>
      </c>
      <c r="M53" s="142" t="n">
        <f aca="false">G53*L53</f>
        <v>0.05</v>
      </c>
      <c r="N53" s="143"/>
      <c r="Z53" s="88" t="n">
        <f aca="false">ROUND(IF(AQ53="5",BJ53,0),2)</f>
        <v>0</v>
      </c>
      <c r="AB53" s="88" t="n">
        <f aca="false">ROUND(IF(AQ53="1",BH53,0),2)</f>
        <v>0</v>
      </c>
      <c r="AC53" s="88" t="n">
        <f aca="false">ROUND(IF(AQ53="1",BI53,0),2)</f>
        <v>0</v>
      </c>
      <c r="AD53" s="88" t="n">
        <f aca="false">ROUND(IF(AQ53="7",BH53,0),2)</f>
        <v>0</v>
      </c>
      <c r="AE53" s="88" t="n">
        <f aca="false">ROUND(IF(AQ53="7",BI53,0),2)</f>
        <v>0</v>
      </c>
      <c r="AF53" s="88" t="n">
        <f aca="false">ROUND(IF(AQ53="2",BH53,0),2)</f>
        <v>0</v>
      </c>
      <c r="AG53" s="88" t="n">
        <f aca="false">ROUND(IF(AQ53="2",BI53,0),2)</f>
        <v>0</v>
      </c>
      <c r="AH53" s="88" t="n">
        <f aca="false">ROUND(IF(AQ53="0",BJ53,0),2)</f>
        <v>0</v>
      </c>
      <c r="AI53" s="116" t="s">
        <v>109</v>
      </c>
      <c r="AJ53" s="144" t="n">
        <f aca="false">IF(AN53=0,K53,0)</f>
        <v>0</v>
      </c>
      <c r="AK53" s="144" t="n">
        <f aca="false">IF(AN53=12,K53,0)</f>
        <v>0</v>
      </c>
      <c r="AL53" s="144" t="n">
        <f aca="false">IF(AN53=21,K53,0)</f>
        <v>0</v>
      </c>
      <c r="AN53" s="88" t="n">
        <v>21</v>
      </c>
      <c r="AO53" s="88" t="n">
        <f aca="false">H53*1</f>
        <v>0</v>
      </c>
      <c r="AP53" s="88" t="n">
        <f aca="false">H53*(1-1)</f>
        <v>0</v>
      </c>
      <c r="AQ53" s="145" t="s">
        <v>151</v>
      </c>
      <c r="AV53" s="88" t="n">
        <f aca="false">ROUND(AW53+AX53,2)</f>
        <v>0</v>
      </c>
      <c r="AW53" s="88" t="n">
        <f aca="false">ROUND(G53*AO53,2)</f>
        <v>0</v>
      </c>
      <c r="AX53" s="88" t="n">
        <f aca="false">ROUND(G53*AP53,2)</f>
        <v>0</v>
      </c>
      <c r="AY53" s="87" t="s">
        <v>389</v>
      </c>
      <c r="AZ53" s="87" t="s">
        <v>367</v>
      </c>
      <c r="BA53" s="116" t="s">
        <v>368</v>
      </c>
      <c r="BC53" s="88" t="n">
        <f aca="false">AW53+AX53</f>
        <v>0</v>
      </c>
      <c r="BD53" s="88" t="n">
        <f aca="false">H53/(100-BE53)*100</f>
        <v>0</v>
      </c>
      <c r="BE53" s="88" t="n">
        <v>0</v>
      </c>
      <c r="BF53" s="88" t="n">
        <f aca="false">M53</f>
        <v>0.05</v>
      </c>
      <c r="BH53" s="144" t="n">
        <f aca="false">G53*AO53</f>
        <v>0</v>
      </c>
      <c r="BI53" s="144" t="n">
        <f aca="false">G53*AP53</f>
        <v>0</v>
      </c>
      <c r="BJ53" s="144" t="n">
        <f aca="false">G53*H53</f>
        <v>0</v>
      </c>
      <c r="BK53" s="145" t="s">
        <v>180</v>
      </c>
      <c r="BL53" s="88" t="n">
        <v>18</v>
      </c>
      <c r="BW53" s="88" t="n">
        <v>21</v>
      </c>
      <c r="BX53" s="146" t="s">
        <v>477</v>
      </c>
    </row>
    <row r="54" customFormat="false" ht="15" hidden="false" customHeight="true" outlineLevel="0" collapsed="false">
      <c r="A54" s="139" t="s">
        <v>293</v>
      </c>
      <c r="B54" s="139" t="s">
        <v>109</v>
      </c>
      <c r="C54" s="139" t="s">
        <v>479</v>
      </c>
      <c r="D54" s="140" t="s">
        <v>480</v>
      </c>
      <c r="E54" s="140"/>
      <c r="F54" s="139" t="s">
        <v>202</v>
      </c>
      <c r="G54" s="141" t="n">
        <f aca="false">'Stavební rozpočet'!G125</f>
        <v>50</v>
      </c>
      <c r="H54" s="142" t="n">
        <f aca="false">'Stavební rozpočet'!H125</f>
        <v>0</v>
      </c>
      <c r="I54" s="142" t="n">
        <f aca="false">ROUND(G54*AO54,2)</f>
        <v>0</v>
      </c>
      <c r="J54" s="142" t="n">
        <f aca="false">ROUND(G54*AP54,2)</f>
        <v>0</v>
      </c>
      <c r="K54" s="142" t="n">
        <f aca="false">ROUND(G54*H54,2)</f>
        <v>0</v>
      </c>
      <c r="L54" s="142" t="n">
        <f aca="false">'Stavební rozpočet'!L125</f>
        <v>0.001</v>
      </c>
      <c r="M54" s="142" t="n">
        <f aca="false">G54*L54</f>
        <v>0.05</v>
      </c>
      <c r="N54" s="143"/>
      <c r="Z54" s="88" t="n">
        <f aca="false">ROUND(IF(AQ54="5",BJ54,0),2)</f>
        <v>0</v>
      </c>
      <c r="AB54" s="88" t="n">
        <f aca="false">ROUND(IF(AQ54="1",BH54,0),2)</f>
        <v>0</v>
      </c>
      <c r="AC54" s="88" t="n">
        <f aca="false">ROUND(IF(AQ54="1",BI54,0),2)</f>
        <v>0</v>
      </c>
      <c r="AD54" s="88" t="n">
        <f aca="false">ROUND(IF(AQ54="7",BH54,0),2)</f>
        <v>0</v>
      </c>
      <c r="AE54" s="88" t="n">
        <f aca="false">ROUND(IF(AQ54="7",BI54,0),2)</f>
        <v>0</v>
      </c>
      <c r="AF54" s="88" t="n">
        <f aca="false">ROUND(IF(AQ54="2",BH54,0),2)</f>
        <v>0</v>
      </c>
      <c r="AG54" s="88" t="n">
        <f aca="false">ROUND(IF(AQ54="2",BI54,0),2)</f>
        <v>0</v>
      </c>
      <c r="AH54" s="88" t="n">
        <f aca="false">ROUND(IF(AQ54="0",BJ54,0),2)</f>
        <v>0</v>
      </c>
      <c r="AI54" s="116" t="s">
        <v>109</v>
      </c>
      <c r="AJ54" s="144" t="n">
        <f aca="false">IF(AN54=0,K54,0)</f>
        <v>0</v>
      </c>
      <c r="AK54" s="144" t="n">
        <f aca="false">IF(AN54=12,K54,0)</f>
        <v>0</v>
      </c>
      <c r="AL54" s="144" t="n">
        <f aca="false">IF(AN54=21,K54,0)</f>
        <v>0</v>
      </c>
      <c r="AN54" s="88" t="n">
        <v>21</v>
      </c>
      <c r="AO54" s="88" t="n">
        <f aca="false">H54*1</f>
        <v>0</v>
      </c>
      <c r="AP54" s="88" t="n">
        <f aca="false">H54*(1-1)</f>
        <v>0</v>
      </c>
      <c r="AQ54" s="145" t="s">
        <v>151</v>
      </c>
      <c r="AV54" s="88" t="n">
        <f aca="false">ROUND(AW54+AX54,2)</f>
        <v>0</v>
      </c>
      <c r="AW54" s="88" t="n">
        <f aca="false">ROUND(G54*AO54,2)</f>
        <v>0</v>
      </c>
      <c r="AX54" s="88" t="n">
        <f aca="false">ROUND(G54*AP54,2)</f>
        <v>0</v>
      </c>
      <c r="AY54" s="87" t="s">
        <v>389</v>
      </c>
      <c r="AZ54" s="87" t="s">
        <v>367</v>
      </c>
      <c r="BA54" s="116" t="s">
        <v>368</v>
      </c>
      <c r="BC54" s="88" t="n">
        <f aca="false">AW54+AX54</f>
        <v>0</v>
      </c>
      <c r="BD54" s="88" t="n">
        <f aca="false">H54/(100-BE54)*100</f>
        <v>0</v>
      </c>
      <c r="BE54" s="88" t="n">
        <v>0</v>
      </c>
      <c r="BF54" s="88" t="n">
        <f aca="false">M54</f>
        <v>0.05</v>
      </c>
      <c r="BH54" s="144" t="n">
        <f aca="false">G54*AO54</f>
        <v>0</v>
      </c>
      <c r="BI54" s="144" t="n">
        <f aca="false">G54*AP54</f>
        <v>0</v>
      </c>
      <c r="BJ54" s="144" t="n">
        <f aca="false">G54*H54</f>
        <v>0</v>
      </c>
      <c r="BK54" s="145" t="s">
        <v>180</v>
      </c>
      <c r="BL54" s="88" t="n">
        <v>18</v>
      </c>
      <c r="BW54" s="88" t="n">
        <v>21</v>
      </c>
      <c r="BX54" s="146" t="s">
        <v>480</v>
      </c>
    </row>
    <row r="55" customFormat="false" ht="15" hidden="false" customHeight="true" outlineLevel="0" collapsed="false">
      <c r="A55" s="139" t="s">
        <v>296</v>
      </c>
      <c r="B55" s="139" t="s">
        <v>109</v>
      </c>
      <c r="C55" s="139" t="s">
        <v>482</v>
      </c>
      <c r="D55" s="140" t="s">
        <v>483</v>
      </c>
      <c r="E55" s="140"/>
      <c r="F55" s="139" t="s">
        <v>202</v>
      </c>
      <c r="G55" s="141" t="n">
        <f aca="false">'Stavební rozpočet'!G126</f>
        <v>50</v>
      </c>
      <c r="H55" s="142" t="n">
        <f aca="false">'Stavební rozpočet'!H126</f>
        <v>0</v>
      </c>
      <c r="I55" s="142" t="n">
        <f aca="false">ROUND(G55*AO55,2)</f>
        <v>0</v>
      </c>
      <c r="J55" s="142" t="n">
        <f aca="false">ROUND(G55*AP55,2)</f>
        <v>0</v>
      </c>
      <c r="K55" s="142" t="n">
        <f aca="false">ROUND(G55*H55,2)</f>
        <v>0</v>
      </c>
      <c r="L55" s="142" t="n">
        <f aca="false">'Stavební rozpočet'!L126</f>
        <v>0.001</v>
      </c>
      <c r="M55" s="142" t="n">
        <f aca="false">G55*L55</f>
        <v>0.05</v>
      </c>
      <c r="N55" s="143"/>
      <c r="Z55" s="88" t="n">
        <f aca="false">ROUND(IF(AQ55="5",BJ55,0),2)</f>
        <v>0</v>
      </c>
      <c r="AB55" s="88" t="n">
        <f aca="false">ROUND(IF(AQ55="1",BH55,0),2)</f>
        <v>0</v>
      </c>
      <c r="AC55" s="88" t="n">
        <f aca="false">ROUND(IF(AQ55="1",BI55,0),2)</f>
        <v>0</v>
      </c>
      <c r="AD55" s="88" t="n">
        <f aca="false">ROUND(IF(AQ55="7",BH55,0),2)</f>
        <v>0</v>
      </c>
      <c r="AE55" s="88" t="n">
        <f aca="false">ROUND(IF(AQ55="7",BI55,0),2)</f>
        <v>0</v>
      </c>
      <c r="AF55" s="88" t="n">
        <f aca="false">ROUND(IF(AQ55="2",BH55,0),2)</f>
        <v>0</v>
      </c>
      <c r="AG55" s="88" t="n">
        <f aca="false">ROUND(IF(AQ55="2",BI55,0),2)</f>
        <v>0</v>
      </c>
      <c r="AH55" s="88" t="n">
        <f aca="false">ROUND(IF(AQ55="0",BJ55,0),2)</f>
        <v>0</v>
      </c>
      <c r="AI55" s="116" t="s">
        <v>109</v>
      </c>
      <c r="AJ55" s="144" t="n">
        <f aca="false">IF(AN55=0,K55,0)</f>
        <v>0</v>
      </c>
      <c r="AK55" s="144" t="n">
        <f aca="false">IF(AN55=12,K55,0)</f>
        <v>0</v>
      </c>
      <c r="AL55" s="144" t="n">
        <f aca="false">IF(AN55=21,K55,0)</f>
        <v>0</v>
      </c>
      <c r="AN55" s="88" t="n">
        <v>21</v>
      </c>
      <c r="AO55" s="88" t="n">
        <f aca="false">H55*1</f>
        <v>0</v>
      </c>
      <c r="AP55" s="88" t="n">
        <f aca="false">H55*(1-1)</f>
        <v>0</v>
      </c>
      <c r="AQ55" s="145" t="s">
        <v>151</v>
      </c>
      <c r="AV55" s="88" t="n">
        <f aca="false">ROUND(AW55+AX55,2)</f>
        <v>0</v>
      </c>
      <c r="AW55" s="88" t="n">
        <f aca="false">ROUND(G55*AO55,2)</f>
        <v>0</v>
      </c>
      <c r="AX55" s="88" t="n">
        <f aca="false">ROUND(G55*AP55,2)</f>
        <v>0</v>
      </c>
      <c r="AY55" s="87" t="s">
        <v>389</v>
      </c>
      <c r="AZ55" s="87" t="s">
        <v>367</v>
      </c>
      <c r="BA55" s="116" t="s">
        <v>368</v>
      </c>
      <c r="BC55" s="88" t="n">
        <f aca="false">AW55+AX55</f>
        <v>0</v>
      </c>
      <c r="BD55" s="88" t="n">
        <f aca="false">H55/(100-BE55)*100</f>
        <v>0</v>
      </c>
      <c r="BE55" s="88" t="n">
        <v>0</v>
      </c>
      <c r="BF55" s="88" t="n">
        <f aca="false">M55</f>
        <v>0.05</v>
      </c>
      <c r="BH55" s="144" t="n">
        <f aca="false">G55*AO55</f>
        <v>0</v>
      </c>
      <c r="BI55" s="144" t="n">
        <f aca="false">G55*AP55</f>
        <v>0</v>
      </c>
      <c r="BJ55" s="144" t="n">
        <f aca="false">G55*H55</f>
        <v>0</v>
      </c>
      <c r="BK55" s="145" t="s">
        <v>180</v>
      </c>
      <c r="BL55" s="88" t="n">
        <v>18</v>
      </c>
      <c r="BW55" s="88" t="n">
        <v>21</v>
      </c>
      <c r="BX55" s="146" t="s">
        <v>483</v>
      </c>
    </row>
    <row r="56" customFormat="false" ht="15" hidden="false" customHeight="true" outlineLevel="0" collapsed="false">
      <c r="A56" s="139" t="s">
        <v>299</v>
      </c>
      <c r="B56" s="139" t="s">
        <v>109</v>
      </c>
      <c r="C56" s="139" t="s">
        <v>485</v>
      </c>
      <c r="D56" s="140" t="s">
        <v>486</v>
      </c>
      <c r="E56" s="140"/>
      <c r="F56" s="139" t="s">
        <v>202</v>
      </c>
      <c r="G56" s="141" t="n">
        <f aca="false">'Stavební rozpočet'!G127</f>
        <v>10</v>
      </c>
      <c r="H56" s="142" t="n">
        <f aca="false">'Stavební rozpočet'!H127</f>
        <v>0</v>
      </c>
      <c r="I56" s="142" t="n">
        <f aca="false">ROUND(G56*AO56,2)</f>
        <v>0</v>
      </c>
      <c r="J56" s="142" t="n">
        <f aca="false">ROUND(G56*AP56,2)</f>
        <v>0</v>
      </c>
      <c r="K56" s="142" t="n">
        <f aca="false">ROUND(G56*H56,2)</f>
        <v>0</v>
      </c>
      <c r="L56" s="142" t="n">
        <f aca="false">'Stavební rozpočet'!L127</f>
        <v>0.001</v>
      </c>
      <c r="M56" s="142" t="n">
        <f aca="false">G56*L56</f>
        <v>0.01</v>
      </c>
      <c r="N56" s="143"/>
      <c r="Z56" s="88" t="n">
        <f aca="false">ROUND(IF(AQ56="5",BJ56,0),2)</f>
        <v>0</v>
      </c>
      <c r="AB56" s="88" t="n">
        <f aca="false">ROUND(IF(AQ56="1",BH56,0),2)</f>
        <v>0</v>
      </c>
      <c r="AC56" s="88" t="n">
        <f aca="false">ROUND(IF(AQ56="1",BI56,0),2)</f>
        <v>0</v>
      </c>
      <c r="AD56" s="88" t="n">
        <f aca="false">ROUND(IF(AQ56="7",BH56,0),2)</f>
        <v>0</v>
      </c>
      <c r="AE56" s="88" t="n">
        <f aca="false">ROUND(IF(AQ56="7",BI56,0),2)</f>
        <v>0</v>
      </c>
      <c r="AF56" s="88" t="n">
        <f aca="false">ROUND(IF(AQ56="2",BH56,0),2)</f>
        <v>0</v>
      </c>
      <c r="AG56" s="88" t="n">
        <f aca="false">ROUND(IF(AQ56="2",BI56,0),2)</f>
        <v>0</v>
      </c>
      <c r="AH56" s="88" t="n">
        <f aca="false">ROUND(IF(AQ56="0",BJ56,0),2)</f>
        <v>0</v>
      </c>
      <c r="AI56" s="116" t="s">
        <v>109</v>
      </c>
      <c r="AJ56" s="144" t="n">
        <f aca="false">IF(AN56=0,K56,0)</f>
        <v>0</v>
      </c>
      <c r="AK56" s="144" t="n">
        <f aca="false">IF(AN56=12,K56,0)</f>
        <v>0</v>
      </c>
      <c r="AL56" s="144" t="n">
        <f aca="false">IF(AN56=21,K56,0)</f>
        <v>0</v>
      </c>
      <c r="AN56" s="88" t="n">
        <v>21</v>
      </c>
      <c r="AO56" s="88" t="n">
        <f aca="false">H56*1</f>
        <v>0</v>
      </c>
      <c r="AP56" s="88" t="n">
        <f aca="false">H56*(1-1)</f>
        <v>0</v>
      </c>
      <c r="AQ56" s="145" t="s">
        <v>151</v>
      </c>
      <c r="AV56" s="88" t="n">
        <f aca="false">ROUND(AW56+AX56,2)</f>
        <v>0</v>
      </c>
      <c r="AW56" s="88" t="n">
        <f aca="false">ROUND(G56*AO56,2)</f>
        <v>0</v>
      </c>
      <c r="AX56" s="88" t="n">
        <f aca="false">ROUND(G56*AP56,2)</f>
        <v>0</v>
      </c>
      <c r="AY56" s="87" t="s">
        <v>389</v>
      </c>
      <c r="AZ56" s="87" t="s">
        <v>367</v>
      </c>
      <c r="BA56" s="116" t="s">
        <v>368</v>
      </c>
      <c r="BC56" s="88" t="n">
        <f aca="false">AW56+AX56</f>
        <v>0</v>
      </c>
      <c r="BD56" s="88" t="n">
        <f aca="false">H56/(100-BE56)*100</f>
        <v>0</v>
      </c>
      <c r="BE56" s="88" t="n">
        <v>0</v>
      </c>
      <c r="BF56" s="88" t="n">
        <f aca="false">M56</f>
        <v>0.01</v>
      </c>
      <c r="BH56" s="144" t="n">
        <f aca="false">G56*AO56</f>
        <v>0</v>
      </c>
      <c r="BI56" s="144" t="n">
        <f aca="false">G56*AP56</f>
        <v>0</v>
      </c>
      <c r="BJ56" s="144" t="n">
        <f aca="false">G56*H56</f>
        <v>0</v>
      </c>
      <c r="BK56" s="145" t="s">
        <v>180</v>
      </c>
      <c r="BL56" s="88" t="n">
        <v>18</v>
      </c>
      <c r="BW56" s="88" t="n">
        <v>21</v>
      </c>
      <c r="BX56" s="146" t="s">
        <v>486</v>
      </c>
    </row>
    <row r="57" customFormat="false" ht="15" hidden="false" customHeight="true" outlineLevel="0" collapsed="false">
      <c r="A57" s="139" t="s">
        <v>302</v>
      </c>
      <c r="B57" s="139" t="s">
        <v>109</v>
      </c>
      <c r="C57" s="139" t="s">
        <v>488</v>
      </c>
      <c r="D57" s="140" t="s">
        <v>489</v>
      </c>
      <c r="E57" s="140"/>
      <c r="F57" s="139" t="s">
        <v>202</v>
      </c>
      <c r="G57" s="141" t="n">
        <f aca="false">'Stavební rozpočet'!G128</f>
        <v>50</v>
      </c>
      <c r="H57" s="142" t="n">
        <f aca="false">'Stavební rozpočet'!H128</f>
        <v>0</v>
      </c>
      <c r="I57" s="142" t="n">
        <f aca="false">ROUND(G57*AO57,2)</f>
        <v>0</v>
      </c>
      <c r="J57" s="142" t="n">
        <f aca="false">ROUND(G57*AP57,2)</f>
        <v>0</v>
      </c>
      <c r="K57" s="142" t="n">
        <f aca="false">ROUND(G57*H57,2)</f>
        <v>0</v>
      </c>
      <c r="L57" s="142" t="n">
        <f aca="false">'Stavební rozpočet'!L128</f>
        <v>0.001</v>
      </c>
      <c r="M57" s="142" t="n">
        <f aca="false">G57*L57</f>
        <v>0.05</v>
      </c>
      <c r="N57" s="143"/>
      <c r="Z57" s="88" t="n">
        <f aca="false">ROUND(IF(AQ57="5",BJ57,0),2)</f>
        <v>0</v>
      </c>
      <c r="AB57" s="88" t="n">
        <f aca="false">ROUND(IF(AQ57="1",BH57,0),2)</f>
        <v>0</v>
      </c>
      <c r="AC57" s="88" t="n">
        <f aca="false">ROUND(IF(AQ57="1",BI57,0),2)</f>
        <v>0</v>
      </c>
      <c r="AD57" s="88" t="n">
        <f aca="false">ROUND(IF(AQ57="7",BH57,0),2)</f>
        <v>0</v>
      </c>
      <c r="AE57" s="88" t="n">
        <f aca="false">ROUND(IF(AQ57="7",BI57,0),2)</f>
        <v>0</v>
      </c>
      <c r="AF57" s="88" t="n">
        <f aca="false">ROUND(IF(AQ57="2",BH57,0),2)</f>
        <v>0</v>
      </c>
      <c r="AG57" s="88" t="n">
        <f aca="false">ROUND(IF(AQ57="2",BI57,0),2)</f>
        <v>0</v>
      </c>
      <c r="AH57" s="88" t="n">
        <f aca="false">ROUND(IF(AQ57="0",BJ57,0),2)</f>
        <v>0</v>
      </c>
      <c r="AI57" s="116" t="s">
        <v>109</v>
      </c>
      <c r="AJ57" s="144" t="n">
        <f aca="false">IF(AN57=0,K57,0)</f>
        <v>0</v>
      </c>
      <c r="AK57" s="144" t="n">
        <f aca="false">IF(AN57=12,K57,0)</f>
        <v>0</v>
      </c>
      <c r="AL57" s="144" t="n">
        <f aca="false">IF(AN57=21,K57,0)</f>
        <v>0</v>
      </c>
      <c r="AN57" s="88" t="n">
        <v>21</v>
      </c>
      <c r="AO57" s="88" t="n">
        <f aca="false">H57*1</f>
        <v>0</v>
      </c>
      <c r="AP57" s="88" t="n">
        <f aca="false">H57*(1-1)</f>
        <v>0</v>
      </c>
      <c r="AQ57" s="145" t="s">
        <v>151</v>
      </c>
      <c r="AV57" s="88" t="n">
        <f aca="false">ROUND(AW57+AX57,2)</f>
        <v>0</v>
      </c>
      <c r="AW57" s="88" t="n">
        <f aca="false">ROUND(G57*AO57,2)</f>
        <v>0</v>
      </c>
      <c r="AX57" s="88" t="n">
        <f aca="false">ROUND(G57*AP57,2)</f>
        <v>0</v>
      </c>
      <c r="AY57" s="87" t="s">
        <v>389</v>
      </c>
      <c r="AZ57" s="87" t="s">
        <v>367</v>
      </c>
      <c r="BA57" s="116" t="s">
        <v>368</v>
      </c>
      <c r="BC57" s="88" t="n">
        <f aca="false">AW57+AX57</f>
        <v>0</v>
      </c>
      <c r="BD57" s="88" t="n">
        <f aca="false">H57/(100-BE57)*100</f>
        <v>0</v>
      </c>
      <c r="BE57" s="88" t="n">
        <v>0</v>
      </c>
      <c r="BF57" s="88" t="n">
        <f aca="false">M57</f>
        <v>0.05</v>
      </c>
      <c r="BH57" s="144" t="n">
        <f aca="false">G57*AO57</f>
        <v>0</v>
      </c>
      <c r="BI57" s="144" t="n">
        <f aca="false">G57*AP57</f>
        <v>0</v>
      </c>
      <c r="BJ57" s="144" t="n">
        <f aca="false">G57*H57</f>
        <v>0</v>
      </c>
      <c r="BK57" s="145" t="s">
        <v>180</v>
      </c>
      <c r="BL57" s="88" t="n">
        <v>18</v>
      </c>
      <c r="BW57" s="88" t="n">
        <v>21</v>
      </c>
      <c r="BX57" s="146" t="s">
        <v>489</v>
      </c>
    </row>
    <row r="58" customFormat="false" ht="15" hidden="false" customHeight="true" outlineLevel="0" collapsed="false">
      <c r="A58" s="139" t="s">
        <v>305</v>
      </c>
      <c r="B58" s="139" t="s">
        <v>109</v>
      </c>
      <c r="C58" s="139" t="s">
        <v>491</v>
      </c>
      <c r="D58" s="140" t="s">
        <v>492</v>
      </c>
      <c r="E58" s="140"/>
      <c r="F58" s="139" t="s">
        <v>202</v>
      </c>
      <c r="G58" s="141" t="n">
        <f aca="false">'Stavební rozpočet'!G129</f>
        <v>30</v>
      </c>
      <c r="H58" s="142" t="n">
        <f aca="false">'Stavební rozpočet'!H129</f>
        <v>0</v>
      </c>
      <c r="I58" s="142" t="n">
        <f aca="false">ROUND(G58*AO58,2)</f>
        <v>0</v>
      </c>
      <c r="J58" s="142" t="n">
        <f aca="false">ROUND(G58*AP58,2)</f>
        <v>0</v>
      </c>
      <c r="K58" s="142" t="n">
        <f aca="false">ROUND(G58*H58,2)</f>
        <v>0</v>
      </c>
      <c r="L58" s="142" t="n">
        <f aca="false">'Stavební rozpočet'!L129</f>
        <v>0.001</v>
      </c>
      <c r="M58" s="142" t="n">
        <f aca="false">G58*L58</f>
        <v>0.03</v>
      </c>
      <c r="N58" s="143"/>
      <c r="Z58" s="88" t="n">
        <f aca="false">ROUND(IF(AQ58="5",BJ58,0),2)</f>
        <v>0</v>
      </c>
      <c r="AB58" s="88" t="n">
        <f aca="false">ROUND(IF(AQ58="1",BH58,0),2)</f>
        <v>0</v>
      </c>
      <c r="AC58" s="88" t="n">
        <f aca="false">ROUND(IF(AQ58="1",BI58,0),2)</f>
        <v>0</v>
      </c>
      <c r="AD58" s="88" t="n">
        <f aca="false">ROUND(IF(AQ58="7",BH58,0),2)</f>
        <v>0</v>
      </c>
      <c r="AE58" s="88" t="n">
        <f aca="false">ROUND(IF(AQ58="7",BI58,0),2)</f>
        <v>0</v>
      </c>
      <c r="AF58" s="88" t="n">
        <f aca="false">ROUND(IF(AQ58="2",BH58,0),2)</f>
        <v>0</v>
      </c>
      <c r="AG58" s="88" t="n">
        <f aca="false">ROUND(IF(AQ58="2",BI58,0),2)</f>
        <v>0</v>
      </c>
      <c r="AH58" s="88" t="n">
        <f aca="false">ROUND(IF(AQ58="0",BJ58,0),2)</f>
        <v>0</v>
      </c>
      <c r="AI58" s="116" t="s">
        <v>109</v>
      </c>
      <c r="AJ58" s="144" t="n">
        <f aca="false">IF(AN58=0,K58,0)</f>
        <v>0</v>
      </c>
      <c r="AK58" s="144" t="n">
        <f aca="false">IF(AN58=12,K58,0)</f>
        <v>0</v>
      </c>
      <c r="AL58" s="144" t="n">
        <f aca="false">IF(AN58=21,K58,0)</f>
        <v>0</v>
      </c>
      <c r="AN58" s="88" t="n">
        <v>21</v>
      </c>
      <c r="AO58" s="88" t="n">
        <f aca="false">H58*1</f>
        <v>0</v>
      </c>
      <c r="AP58" s="88" t="n">
        <f aca="false">H58*(1-1)</f>
        <v>0</v>
      </c>
      <c r="AQ58" s="145" t="s">
        <v>151</v>
      </c>
      <c r="AV58" s="88" t="n">
        <f aca="false">ROUND(AW58+AX58,2)</f>
        <v>0</v>
      </c>
      <c r="AW58" s="88" t="n">
        <f aca="false">ROUND(G58*AO58,2)</f>
        <v>0</v>
      </c>
      <c r="AX58" s="88" t="n">
        <f aca="false">ROUND(G58*AP58,2)</f>
        <v>0</v>
      </c>
      <c r="AY58" s="87" t="s">
        <v>389</v>
      </c>
      <c r="AZ58" s="87" t="s">
        <v>367</v>
      </c>
      <c r="BA58" s="116" t="s">
        <v>368</v>
      </c>
      <c r="BC58" s="88" t="n">
        <f aca="false">AW58+AX58</f>
        <v>0</v>
      </c>
      <c r="BD58" s="88" t="n">
        <f aca="false">H58/(100-BE58)*100</f>
        <v>0</v>
      </c>
      <c r="BE58" s="88" t="n">
        <v>0</v>
      </c>
      <c r="BF58" s="88" t="n">
        <f aca="false">M58</f>
        <v>0.03</v>
      </c>
      <c r="BH58" s="144" t="n">
        <f aca="false">G58*AO58</f>
        <v>0</v>
      </c>
      <c r="BI58" s="144" t="n">
        <f aca="false">G58*AP58</f>
        <v>0</v>
      </c>
      <c r="BJ58" s="144" t="n">
        <f aca="false">G58*H58</f>
        <v>0</v>
      </c>
      <c r="BK58" s="145" t="s">
        <v>180</v>
      </c>
      <c r="BL58" s="88" t="n">
        <v>18</v>
      </c>
      <c r="BW58" s="88" t="n">
        <v>21</v>
      </c>
      <c r="BX58" s="146" t="s">
        <v>492</v>
      </c>
    </row>
    <row r="59" customFormat="false" ht="15" hidden="false" customHeight="true" outlineLevel="0" collapsed="false">
      <c r="A59" s="139" t="s">
        <v>308</v>
      </c>
      <c r="B59" s="139" t="s">
        <v>109</v>
      </c>
      <c r="C59" s="139" t="s">
        <v>494</v>
      </c>
      <c r="D59" s="140" t="s">
        <v>480</v>
      </c>
      <c r="E59" s="140"/>
      <c r="F59" s="139" t="s">
        <v>202</v>
      </c>
      <c r="G59" s="141" t="n">
        <f aca="false">'Stavební rozpočet'!G130</f>
        <v>50</v>
      </c>
      <c r="H59" s="142" t="n">
        <f aca="false">'Stavební rozpočet'!H130</f>
        <v>0</v>
      </c>
      <c r="I59" s="142" t="n">
        <f aca="false">ROUND(G59*AO59,2)</f>
        <v>0</v>
      </c>
      <c r="J59" s="142" t="n">
        <f aca="false">ROUND(G59*AP59,2)</f>
        <v>0</v>
      </c>
      <c r="K59" s="142" t="n">
        <f aca="false">ROUND(G59*H59,2)</f>
        <v>0</v>
      </c>
      <c r="L59" s="142" t="n">
        <f aca="false">'Stavební rozpočet'!L130</f>
        <v>0.001</v>
      </c>
      <c r="M59" s="142" t="n">
        <f aca="false">G59*L59</f>
        <v>0.05</v>
      </c>
      <c r="N59" s="143"/>
      <c r="Z59" s="88" t="n">
        <f aca="false">ROUND(IF(AQ59="5",BJ59,0),2)</f>
        <v>0</v>
      </c>
      <c r="AB59" s="88" t="n">
        <f aca="false">ROUND(IF(AQ59="1",BH59,0),2)</f>
        <v>0</v>
      </c>
      <c r="AC59" s="88" t="n">
        <f aca="false">ROUND(IF(AQ59="1",BI59,0),2)</f>
        <v>0</v>
      </c>
      <c r="AD59" s="88" t="n">
        <f aca="false">ROUND(IF(AQ59="7",BH59,0),2)</f>
        <v>0</v>
      </c>
      <c r="AE59" s="88" t="n">
        <f aca="false">ROUND(IF(AQ59="7",BI59,0),2)</f>
        <v>0</v>
      </c>
      <c r="AF59" s="88" t="n">
        <f aca="false">ROUND(IF(AQ59="2",BH59,0),2)</f>
        <v>0</v>
      </c>
      <c r="AG59" s="88" t="n">
        <f aca="false">ROUND(IF(AQ59="2",BI59,0),2)</f>
        <v>0</v>
      </c>
      <c r="AH59" s="88" t="n">
        <f aca="false">ROUND(IF(AQ59="0",BJ59,0),2)</f>
        <v>0</v>
      </c>
      <c r="AI59" s="116" t="s">
        <v>109</v>
      </c>
      <c r="AJ59" s="144" t="n">
        <f aca="false">IF(AN59=0,K59,0)</f>
        <v>0</v>
      </c>
      <c r="AK59" s="144" t="n">
        <f aca="false">IF(AN59=12,K59,0)</f>
        <v>0</v>
      </c>
      <c r="AL59" s="144" t="n">
        <f aca="false">IF(AN59=21,K59,0)</f>
        <v>0</v>
      </c>
      <c r="AN59" s="88" t="n">
        <v>21</v>
      </c>
      <c r="AO59" s="88" t="n">
        <f aca="false">H59*1</f>
        <v>0</v>
      </c>
      <c r="AP59" s="88" t="n">
        <f aca="false">H59*(1-1)</f>
        <v>0</v>
      </c>
      <c r="AQ59" s="145" t="s">
        <v>151</v>
      </c>
      <c r="AV59" s="88" t="n">
        <f aca="false">ROUND(AW59+AX59,2)</f>
        <v>0</v>
      </c>
      <c r="AW59" s="88" t="n">
        <f aca="false">ROUND(G59*AO59,2)</f>
        <v>0</v>
      </c>
      <c r="AX59" s="88" t="n">
        <f aca="false">ROUND(G59*AP59,2)</f>
        <v>0</v>
      </c>
      <c r="AY59" s="87" t="s">
        <v>389</v>
      </c>
      <c r="AZ59" s="87" t="s">
        <v>367</v>
      </c>
      <c r="BA59" s="116" t="s">
        <v>368</v>
      </c>
      <c r="BC59" s="88" t="n">
        <f aca="false">AW59+AX59</f>
        <v>0</v>
      </c>
      <c r="BD59" s="88" t="n">
        <f aca="false">H59/(100-BE59)*100</f>
        <v>0</v>
      </c>
      <c r="BE59" s="88" t="n">
        <v>0</v>
      </c>
      <c r="BF59" s="88" t="n">
        <f aca="false">M59</f>
        <v>0.05</v>
      </c>
      <c r="BH59" s="144" t="n">
        <f aca="false">G59*AO59</f>
        <v>0</v>
      </c>
      <c r="BI59" s="144" t="n">
        <f aca="false">G59*AP59</f>
        <v>0</v>
      </c>
      <c r="BJ59" s="144" t="n">
        <f aca="false">G59*H59</f>
        <v>0</v>
      </c>
      <c r="BK59" s="145" t="s">
        <v>180</v>
      </c>
      <c r="BL59" s="88" t="n">
        <v>18</v>
      </c>
      <c r="BW59" s="88" t="n">
        <v>21</v>
      </c>
      <c r="BX59" s="146" t="s">
        <v>480</v>
      </c>
    </row>
    <row r="60" customFormat="false" ht="15" hidden="false" customHeight="true" outlineLevel="0" collapsed="false">
      <c r="A60" s="139" t="s">
        <v>311</v>
      </c>
      <c r="B60" s="139" t="s">
        <v>109</v>
      </c>
      <c r="C60" s="139" t="s">
        <v>496</v>
      </c>
      <c r="D60" s="140" t="s">
        <v>497</v>
      </c>
      <c r="E60" s="140"/>
      <c r="F60" s="139" t="s">
        <v>202</v>
      </c>
      <c r="G60" s="141" t="n">
        <f aca="false">'Stavební rozpočet'!G131</f>
        <v>50</v>
      </c>
      <c r="H60" s="142" t="n">
        <f aca="false">'Stavební rozpočet'!H131</f>
        <v>0</v>
      </c>
      <c r="I60" s="142" t="n">
        <f aca="false">ROUND(G60*AO60,2)</f>
        <v>0</v>
      </c>
      <c r="J60" s="142" t="n">
        <f aca="false">ROUND(G60*AP60,2)</f>
        <v>0</v>
      </c>
      <c r="K60" s="142" t="n">
        <f aca="false">ROUND(G60*H60,2)</f>
        <v>0</v>
      </c>
      <c r="L60" s="142" t="n">
        <f aca="false">'Stavební rozpočet'!L131</f>
        <v>0.001</v>
      </c>
      <c r="M60" s="142" t="n">
        <f aca="false">G60*L60</f>
        <v>0.05</v>
      </c>
      <c r="N60" s="143"/>
      <c r="Z60" s="88" t="n">
        <f aca="false">ROUND(IF(AQ60="5",BJ60,0),2)</f>
        <v>0</v>
      </c>
      <c r="AB60" s="88" t="n">
        <f aca="false">ROUND(IF(AQ60="1",BH60,0),2)</f>
        <v>0</v>
      </c>
      <c r="AC60" s="88" t="n">
        <f aca="false">ROUND(IF(AQ60="1",BI60,0),2)</f>
        <v>0</v>
      </c>
      <c r="AD60" s="88" t="n">
        <f aca="false">ROUND(IF(AQ60="7",BH60,0),2)</f>
        <v>0</v>
      </c>
      <c r="AE60" s="88" t="n">
        <f aca="false">ROUND(IF(AQ60="7",BI60,0),2)</f>
        <v>0</v>
      </c>
      <c r="AF60" s="88" t="n">
        <f aca="false">ROUND(IF(AQ60="2",BH60,0),2)</f>
        <v>0</v>
      </c>
      <c r="AG60" s="88" t="n">
        <f aca="false">ROUND(IF(AQ60="2",BI60,0),2)</f>
        <v>0</v>
      </c>
      <c r="AH60" s="88" t="n">
        <f aca="false">ROUND(IF(AQ60="0",BJ60,0),2)</f>
        <v>0</v>
      </c>
      <c r="AI60" s="116" t="s">
        <v>109</v>
      </c>
      <c r="AJ60" s="144" t="n">
        <f aca="false">IF(AN60=0,K60,0)</f>
        <v>0</v>
      </c>
      <c r="AK60" s="144" t="n">
        <f aca="false">IF(AN60=12,K60,0)</f>
        <v>0</v>
      </c>
      <c r="AL60" s="144" t="n">
        <f aca="false">IF(AN60=21,K60,0)</f>
        <v>0</v>
      </c>
      <c r="AN60" s="88" t="n">
        <v>21</v>
      </c>
      <c r="AO60" s="88" t="n">
        <f aca="false">H60*1</f>
        <v>0</v>
      </c>
      <c r="AP60" s="88" t="n">
        <f aca="false">H60*(1-1)</f>
        <v>0</v>
      </c>
      <c r="AQ60" s="145" t="s">
        <v>151</v>
      </c>
      <c r="AV60" s="88" t="n">
        <f aca="false">ROUND(AW60+AX60,2)</f>
        <v>0</v>
      </c>
      <c r="AW60" s="88" t="n">
        <f aca="false">ROUND(G60*AO60,2)</f>
        <v>0</v>
      </c>
      <c r="AX60" s="88" t="n">
        <f aca="false">ROUND(G60*AP60,2)</f>
        <v>0</v>
      </c>
      <c r="AY60" s="87" t="s">
        <v>389</v>
      </c>
      <c r="AZ60" s="87" t="s">
        <v>367</v>
      </c>
      <c r="BA60" s="116" t="s">
        <v>368</v>
      </c>
      <c r="BC60" s="88" t="n">
        <f aca="false">AW60+AX60</f>
        <v>0</v>
      </c>
      <c r="BD60" s="88" t="n">
        <f aca="false">H60/(100-BE60)*100</f>
        <v>0</v>
      </c>
      <c r="BE60" s="88" t="n">
        <v>0</v>
      </c>
      <c r="BF60" s="88" t="n">
        <f aca="false">M60</f>
        <v>0.05</v>
      </c>
      <c r="BH60" s="144" t="n">
        <f aca="false">G60*AO60</f>
        <v>0</v>
      </c>
      <c r="BI60" s="144" t="n">
        <f aca="false">G60*AP60</f>
        <v>0</v>
      </c>
      <c r="BJ60" s="144" t="n">
        <f aca="false">G60*H60</f>
        <v>0</v>
      </c>
      <c r="BK60" s="145" t="s">
        <v>180</v>
      </c>
      <c r="BL60" s="88" t="n">
        <v>18</v>
      </c>
      <c r="BW60" s="88" t="n">
        <v>21</v>
      </c>
      <c r="BX60" s="146" t="s">
        <v>497</v>
      </c>
    </row>
    <row r="61" customFormat="false" ht="15" hidden="false" customHeight="true" outlineLevel="0" collapsed="false">
      <c r="A61" s="134" t="s">
        <v>314</v>
      </c>
      <c r="B61" s="134" t="s">
        <v>109</v>
      </c>
      <c r="C61" s="134" t="s">
        <v>499</v>
      </c>
      <c r="D61" s="135" t="s">
        <v>500</v>
      </c>
      <c r="E61" s="135"/>
      <c r="F61" s="134" t="s">
        <v>169</v>
      </c>
      <c r="G61" s="136" t="n">
        <f aca="false">'Stavební rozpočet'!G132</f>
        <v>9.8</v>
      </c>
      <c r="H61" s="137" t="n">
        <f aca="false">'Stavební rozpočet'!H132</f>
        <v>0</v>
      </c>
      <c r="I61" s="137" t="n">
        <f aca="false">ROUND(G61*AO61,2)</f>
        <v>0</v>
      </c>
      <c r="J61" s="137" t="n">
        <f aca="false">ROUND(G61*AP61,2)</f>
        <v>0</v>
      </c>
      <c r="K61" s="137" t="n">
        <f aca="false">ROUND(G61*H61,2)</f>
        <v>0</v>
      </c>
      <c r="L61" s="137" t="n">
        <f aca="false">'Stavební rozpočet'!L132</f>
        <v>0</v>
      </c>
      <c r="M61" s="137" t="n">
        <f aca="false">G61*L61</f>
        <v>0</v>
      </c>
      <c r="N61" s="138" t="s">
        <v>155</v>
      </c>
      <c r="Z61" s="88" t="n">
        <f aca="false">ROUND(IF(AQ61="5",BJ61,0),2)</f>
        <v>0</v>
      </c>
      <c r="AB61" s="88" t="n">
        <f aca="false">ROUND(IF(AQ61="1",BH61,0),2)</f>
        <v>0</v>
      </c>
      <c r="AC61" s="88" t="n">
        <f aca="false">ROUND(IF(AQ61="1",BI61,0),2)</f>
        <v>0</v>
      </c>
      <c r="AD61" s="88" t="n">
        <f aca="false">ROUND(IF(AQ61="7",BH61,0),2)</f>
        <v>0</v>
      </c>
      <c r="AE61" s="88" t="n">
        <f aca="false">ROUND(IF(AQ61="7",BI61,0),2)</f>
        <v>0</v>
      </c>
      <c r="AF61" s="88" t="n">
        <f aca="false">ROUND(IF(AQ61="2",BH61,0),2)</f>
        <v>0</v>
      </c>
      <c r="AG61" s="88" t="n">
        <f aca="false">ROUND(IF(AQ61="2",BI61,0),2)</f>
        <v>0</v>
      </c>
      <c r="AH61" s="88" t="n">
        <f aca="false">ROUND(IF(AQ61="0",BJ61,0),2)</f>
        <v>0</v>
      </c>
      <c r="AI61" s="116" t="s">
        <v>109</v>
      </c>
      <c r="AJ61" s="88" t="n">
        <f aca="false">IF(AN61=0,K61,0)</f>
        <v>0</v>
      </c>
      <c r="AK61" s="88" t="n">
        <f aca="false">IF(AN61=12,K61,0)</f>
        <v>0</v>
      </c>
      <c r="AL61" s="88" t="n">
        <f aca="false">IF(AN61=21,K61,0)</f>
        <v>0</v>
      </c>
      <c r="AN61" s="88" t="n">
        <v>21</v>
      </c>
      <c r="AO61" s="88" t="n">
        <f aca="false">H61*0.066862416</f>
        <v>0</v>
      </c>
      <c r="AP61" s="88" t="n">
        <f aca="false">H61*(1-0.066862416)</f>
        <v>0</v>
      </c>
      <c r="AQ61" s="87" t="s">
        <v>151</v>
      </c>
      <c r="AV61" s="88" t="n">
        <f aca="false">ROUND(AW61+AX61,2)</f>
        <v>0</v>
      </c>
      <c r="AW61" s="88" t="n">
        <f aca="false">ROUND(G61*AO61,2)</f>
        <v>0</v>
      </c>
      <c r="AX61" s="88" t="n">
        <f aca="false">ROUND(G61*AP61,2)</f>
        <v>0</v>
      </c>
      <c r="AY61" s="87" t="s">
        <v>389</v>
      </c>
      <c r="AZ61" s="87" t="s">
        <v>367</v>
      </c>
      <c r="BA61" s="116" t="s">
        <v>368</v>
      </c>
      <c r="BC61" s="88" t="n">
        <f aca="false">AW61+AX61</f>
        <v>0</v>
      </c>
      <c r="BD61" s="88" t="n">
        <f aca="false">H61/(100-BE61)*100</f>
        <v>0</v>
      </c>
      <c r="BE61" s="88" t="n">
        <v>0</v>
      </c>
      <c r="BF61" s="88" t="n">
        <f aca="false">M61</f>
        <v>0</v>
      </c>
      <c r="BH61" s="88" t="n">
        <f aca="false">G61*AO61</f>
        <v>0</v>
      </c>
      <c r="BI61" s="88" t="n">
        <f aca="false">G61*AP61</f>
        <v>0</v>
      </c>
      <c r="BJ61" s="88" t="n">
        <f aca="false">G61*H61</f>
        <v>0</v>
      </c>
      <c r="BK61" s="87" t="s">
        <v>159</v>
      </c>
      <c r="BL61" s="88" t="n">
        <v>18</v>
      </c>
      <c r="BW61" s="88" t="n">
        <v>21</v>
      </c>
      <c r="BX61" s="9" t="s">
        <v>500</v>
      </c>
    </row>
    <row r="62" customFormat="false" ht="15" hidden="false" customHeight="true" outlineLevel="0" collapsed="false">
      <c r="A62" s="139" t="s">
        <v>317</v>
      </c>
      <c r="B62" s="139" t="s">
        <v>109</v>
      </c>
      <c r="C62" s="139" t="s">
        <v>502</v>
      </c>
      <c r="D62" s="140" t="s">
        <v>503</v>
      </c>
      <c r="E62" s="140"/>
      <c r="F62" s="139" t="s">
        <v>325</v>
      </c>
      <c r="G62" s="141" t="n">
        <f aca="false">'Stavební rozpočet'!G133</f>
        <v>0.294</v>
      </c>
      <c r="H62" s="142" t="n">
        <f aca="false">'Stavební rozpočet'!H133</f>
        <v>0</v>
      </c>
      <c r="I62" s="142" t="n">
        <f aca="false">ROUND(G62*AO62,2)</f>
        <v>0</v>
      </c>
      <c r="J62" s="142" t="n">
        <f aca="false">ROUND(G62*AP62,2)</f>
        <v>0</v>
      </c>
      <c r="K62" s="142" t="n">
        <f aca="false">ROUND(G62*H62,2)</f>
        <v>0</v>
      </c>
      <c r="L62" s="142" t="n">
        <f aca="false">'Stavební rozpočet'!L133</f>
        <v>0.001</v>
      </c>
      <c r="M62" s="142" t="n">
        <f aca="false">G62*L62</f>
        <v>0.000294</v>
      </c>
      <c r="N62" s="143" t="s">
        <v>155</v>
      </c>
      <c r="Z62" s="88" t="n">
        <f aca="false">ROUND(IF(AQ62="5",BJ62,0),2)</f>
        <v>0</v>
      </c>
      <c r="AB62" s="88" t="n">
        <f aca="false">ROUND(IF(AQ62="1",BH62,0),2)</f>
        <v>0</v>
      </c>
      <c r="AC62" s="88" t="n">
        <f aca="false">ROUND(IF(AQ62="1",BI62,0),2)</f>
        <v>0</v>
      </c>
      <c r="AD62" s="88" t="n">
        <f aca="false">ROUND(IF(AQ62="7",BH62,0),2)</f>
        <v>0</v>
      </c>
      <c r="AE62" s="88" t="n">
        <f aca="false">ROUND(IF(AQ62="7",BI62,0),2)</f>
        <v>0</v>
      </c>
      <c r="AF62" s="88" t="n">
        <f aca="false">ROUND(IF(AQ62="2",BH62,0),2)</f>
        <v>0</v>
      </c>
      <c r="AG62" s="88" t="n">
        <f aca="false">ROUND(IF(AQ62="2",BI62,0),2)</f>
        <v>0</v>
      </c>
      <c r="AH62" s="88" t="n">
        <f aca="false">ROUND(IF(AQ62="0",BJ62,0),2)</f>
        <v>0</v>
      </c>
      <c r="AI62" s="116" t="s">
        <v>109</v>
      </c>
      <c r="AJ62" s="144" t="n">
        <f aca="false">IF(AN62=0,K62,0)</f>
        <v>0</v>
      </c>
      <c r="AK62" s="144" t="n">
        <f aca="false">IF(AN62=12,K62,0)</f>
        <v>0</v>
      </c>
      <c r="AL62" s="144" t="n">
        <f aca="false">IF(AN62=21,K62,0)</f>
        <v>0</v>
      </c>
      <c r="AN62" s="88" t="n">
        <v>21</v>
      </c>
      <c r="AO62" s="88" t="n">
        <f aca="false">H62*1</f>
        <v>0</v>
      </c>
      <c r="AP62" s="88" t="n">
        <f aca="false">H62*(1-1)</f>
        <v>0</v>
      </c>
      <c r="AQ62" s="145" t="s">
        <v>151</v>
      </c>
      <c r="AV62" s="88" t="n">
        <f aca="false">ROUND(AW62+AX62,2)</f>
        <v>0</v>
      </c>
      <c r="AW62" s="88" t="n">
        <f aca="false">ROUND(G62*AO62,2)</f>
        <v>0</v>
      </c>
      <c r="AX62" s="88" t="n">
        <f aca="false">ROUND(G62*AP62,2)</f>
        <v>0</v>
      </c>
      <c r="AY62" s="87" t="s">
        <v>389</v>
      </c>
      <c r="AZ62" s="87" t="s">
        <v>367</v>
      </c>
      <c r="BA62" s="116" t="s">
        <v>368</v>
      </c>
      <c r="BC62" s="88" t="n">
        <f aca="false">AW62+AX62</f>
        <v>0</v>
      </c>
      <c r="BD62" s="88" t="n">
        <f aca="false">H62/(100-BE62)*100</f>
        <v>0</v>
      </c>
      <c r="BE62" s="88" t="n">
        <v>0</v>
      </c>
      <c r="BF62" s="88" t="n">
        <f aca="false">M62</f>
        <v>0.000294</v>
      </c>
      <c r="BH62" s="144" t="n">
        <f aca="false">G62*AO62</f>
        <v>0</v>
      </c>
      <c r="BI62" s="144" t="n">
        <f aca="false">G62*AP62</f>
        <v>0</v>
      </c>
      <c r="BJ62" s="144" t="n">
        <f aca="false">G62*H62</f>
        <v>0</v>
      </c>
      <c r="BK62" s="145" t="s">
        <v>180</v>
      </c>
      <c r="BL62" s="88" t="n">
        <v>18</v>
      </c>
      <c r="BW62" s="88" t="n">
        <v>21</v>
      </c>
      <c r="BX62" s="146" t="s">
        <v>503</v>
      </c>
    </row>
    <row r="63" customFormat="false" ht="15" hidden="false" customHeight="true" outlineLevel="0" collapsed="false">
      <c r="A63" s="134" t="s">
        <v>322</v>
      </c>
      <c r="B63" s="134" t="s">
        <v>109</v>
      </c>
      <c r="C63" s="134" t="s">
        <v>505</v>
      </c>
      <c r="D63" s="135" t="s">
        <v>506</v>
      </c>
      <c r="E63" s="135"/>
      <c r="F63" s="134" t="s">
        <v>169</v>
      </c>
      <c r="G63" s="136" t="n">
        <f aca="false">'Stavební rozpočet'!G134</f>
        <v>9.8</v>
      </c>
      <c r="H63" s="137" t="n">
        <f aca="false">'Stavební rozpočet'!H134</f>
        <v>0</v>
      </c>
      <c r="I63" s="137" t="n">
        <f aca="false">ROUND(G63*AO63,2)</f>
        <v>0</v>
      </c>
      <c r="J63" s="137" t="n">
        <f aca="false">ROUND(G63*AP63,2)</f>
        <v>0</v>
      </c>
      <c r="K63" s="137" t="n">
        <f aca="false">ROUND(G63*H63,2)</f>
        <v>0</v>
      </c>
      <c r="L63" s="137" t="n">
        <f aca="false">'Stavební rozpočet'!L134</f>
        <v>0</v>
      </c>
      <c r="M63" s="137" t="n">
        <f aca="false">G63*L63</f>
        <v>0</v>
      </c>
      <c r="N63" s="138" t="s">
        <v>155</v>
      </c>
      <c r="Z63" s="88" t="n">
        <f aca="false">ROUND(IF(AQ63="5",BJ63,0),2)</f>
        <v>0</v>
      </c>
      <c r="AB63" s="88" t="n">
        <f aca="false">ROUND(IF(AQ63="1",BH63,0),2)</f>
        <v>0</v>
      </c>
      <c r="AC63" s="88" t="n">
        <f aca="false">ROUND(IF(AQ63="1",BI63,0),2)</f>
        <v>0</v>
      </c>
      <c r="AD63" s="88" t="n">
        <f aca="false">ROUND(IF(AQ63="7",BH63,0),2)</f>
        <v>0</v>
      </c>
      <c r="AE63" s="88" t="n">
        <f aca="false">ROUND(IF(AQ63="7",BI63,0),2)</f>
        <v>0</v>
      </c>
      <c r="AF63" s="88" t="n">
        <f aca="false">ROUND(IF(AQ63="2",BH63,0),2)</f>
        <v>0</v>
      </c>
      <c r="AG63" s="88" t="n">
        <f aca="false">ROUND(IF(AQ63="2",BI63,0),2)</f>
        <v>0</v>
      </c>
      <c r="AH63" s="88" t="n">
        <f aca="false">ROUND(IF(AQ63="0",BJ63,0),2)</f>
        <v>0</v>
      </c>
      <c r="AI63" s="116" t="s">
        <v>109</v>
      </c>
      <c r="AJ63" s="88" t="n">
        <f aca="false">IF(AN63=0,K63,0)</f>
        <v>0</v>
      </c>
      <c r="AK63" s="88" t="n">
        <f aca="false">IF(AN63=12,K63,0)</f>
        <v>0</v>
      </c>
      <c r="AL63" s="88" t="n">
        <f aca="false">IF(AN63=21,K63,0)</f>
        <v>0</v>
      </c>
      <c r="AN63" s="88" t="n">
        <v>21</v>
      </c>
      <c r="AO63" s="88" t="n">
        <f aca="false">H63*0</f>
        <v>0</v>
      </c>
      <c r="AP63" s="88" t="n">
        <f aca="false">H63*(1-0)</f>
        <v>0</v>
      </c>
      <c r="AQ63" s="87" t="s">
        <v>151</v>
      </c>
      <c r="AV63" s="88" t="n">
        <f aca="false">ROUND(AW63+AX63,2)</f>
        <v>0</v>
      </c>
      <c r="AW63" s="88" t="n">
        <f aca="false">ROUND(G63*AO63,2)</f>
        <v>0</v>
      </c>
      <c r="AX63" s="88" t="n">
        <f aca="false">ROUND(G63*AP63,2)</f>
        <v>0</v>
      </c>
      <c r="AY63" s="87" t="s">
        <v>389</v>
      </c>
      <c r="AZ63" s="87" t="s">
        <v>367</v>
      </c>
      <c r="BA63" s="116" t="s">
        <v>368</v>
      </c>
      <c r="BC63" s="88" t="n">
        <f aca="false">AW63+AX63</f>
        <v>0</v>
      </c>
      <c r="BD63" s="88" t="n">
        <f aca="false">H63/(100-BE63)*100</f>
        <v>0</v>
      </c>
      <c r="BE63" s="88" t="n">
        <v>0</v>
      </c>
      <c r="BF63" s="88" t="n">
        <f aca="false">M63</f>
        <v>0</v>
      </c>
      <c r="BH63" s="88" t="n">
        <f aca="false">G63*AO63</f>
        <v>0</v>
      </c>
      <c r="BI63" s="88" t="n">
        <f aca="false">G63*AP63</f>
        <v>0</v>
      </c>
      <c r="BJ63" s="88" t="n">
        <f aca="false">G63*H63</f>
        <v>0</v>
      </c>
      <c r="BK63" s="87" t="s">
        <v>159</v>
      </c>
      <c r="BL63" s="88" t="n">
        <v>18</v>
      </c>
      <c r="BW63" s="88" t="n">
        <v>21</v>
      </c>
      <c r="BX63" s="9" t="s">
        <v>506</v>
      </c>
    </row>
    <row r="64" customFormat="false" ht="15" hidden="false" customHeight="true" outlineLevel="0" collapsed="false">
      <c r="A64" s="134" t="s">
        <v>328</v>
      </c>
      <c r="B64" s="134" t="s">
        <v>109</v>
      </c>
      <c r="C64" s="134" t="s">
        <v>508</v>
      </c>
      <c r="D64" s="135" t="s">
        <v>509</v>
      </c>
      <c r="E64" s="135"/>
      <c r="F64" s="134" t="s">
        <v>169</v>
      </c>
      <c r="G64" s="136" t="n">
        <f aca="false">'Stavební rozpočet'!G135</f>
        <v>9.8</v>
      </c>
      <c r="H64" s="137" t="n">
        <f aca="false">'Stavební rozpočet'!H135</f>
        <v>0</v>
      </c>
      <c r="I64" s="137" t="n">
        <f aca="false">ROUND(G64*AO64,2)</f>
        <v>0</v>
      </c>
      <c r="J64" s="137" t="n">
        <f aca="false">ROUND(G64*AP64,2)</f>
        <v>0</v>
      </c>
      <c r="K64" s="137" t="n">
        <f aca="false">ROUND(G64*H64,2)</f>
        <v>0</v>
      </c>
      <c r="L64" s="137" t="n">
        <f aca="false">'Stavební rozpočet'!L135</f>
        <v>0</v>
      </c>
      <c r="M64" s="137" t="n">
        <f aca="false">G64*L64</f>
        <v>0</v>
      </c>
      <c r="N64" s="138" t="s">
        <v>155</v>
      </c>
      <c r="Z64" s="88" t="n">
        <f aca="false">ROUND(IF(AQ64="5",BJ64,0),2)</f>
        <v>0</v>
      </c>
      <c r="AB64" s="88" t="n">
        <f aca="false">ROUND(IF(AQ64="1",BH64,0),2)</f>
        <v>0</v>
      </c>
      <c r="AC64" s="88" t="n">
        <f aca="false">ROUND(IF(AQ64="1",BI64,0),2)</f>
        <v>0</v>
      </c>
      <c r="AD64" s="88" t="n">
        <f aca="false">ROUND(IF(AQ64="7",BH64,0),2)</f>
        <v>0</v>
      </c>
      <c r="AE64" s="88" t="n">
        <f aca="false">ROUND(IF(AQ64="7",BI64,0),2)</f>
        <v>0</v>
      </c>
      <c r="AF64" s="88" t="n">
        <f aca="false">ROUND(IF(AQ64="2",BH64,0),2)</f>
        <v>0</v>
      </c>
      <c r="AG64" s="88" t="n">
        <f aca="false">ROUND(IF(AQ64="2",BI64,0),2)</f>
        <v>0</v>
      </c>
      <c r="AH64" s="88" t="n">
        <f aca="false">ROUND(IF(AQ64="0",BJ64,0),2)</f>
        <v>0</v>
      </c>
      <c r="AI64" s="116" t="s">
        <v>109</v>
      </c>
      <c r="AJ64" s="88" t="n">
        <f aca="false">IF(AN64=0,K64,0)</f>
        <v>0</v>
      </c>
      <c r="AK64" s="88" t="n">
        <f aca="false">IF(AN64=12,K64,0)</f>
        <v>0</v>
      </c>
      <c r="AL64" s="88" t="n">
        <f aca="false">IF(AN64=21,K64,0)</f>
        <v>0</v>
      </c>
      <c r="AN64" s="88" t="n">
        <v>21</v>
      </c>
      <c r="AO64" s="88" t="n">
        <f aca="false">H64*0</f>
        <v>0</v>
      </c>
      <c r="AP64" s="88" t="n">
        <f aca="false">H64*(1-0)</f>
        <v>0</v>
      </c>
      <c r="AQ64" s="87" t="s">
        <v>151</v>
      </c>
      <c r="AV64" s="88" t="n">
        <f aca="false">ROUND(AW64+AX64,2)</f>
        <v>0</v>
      </c>
      <c r="AW64" s="88" t="n">
        <f aca="false">ROUND(G64*AO64,2)</f>
        <v>0</v>
      </c>
      <c r="AX64" s="88" t="n">
        <f aca="false">ROUND(G64*AP64,2)</f>
        <v>0</v>
      </c>
      <c r="AY64" s="87" t="s">
        <v>389</v>
      </c>
      <c r="AZ64" s="87" t="s">
        <v>367</v>
      </c>
      <c r="BA64" s="116" t="s">
        <v>368</v>
      </c>
      <c r="BC64" s="88" t="n">
        <f aca="false">AW64+AX64</f>
        <v>0</v>
      </c>
      <c r="BD64" s="88" t="n">
        <f aca="false">H64/(100-BE64)*100</f>
        <v>0</v>
      </c>
      <c r="BE64" s="88" t="n">
        <v>0</v>
      </c>
      <c r="BF64" s="88" t="n">
        <f aca="false">M64</f>
        <v>0</v>
      </c>
      <c r="BH64" s="88" t="n">
        <f aca="false">G64*AO64</f>
        <v>0</v>
      </c>
      <c r="BI64" s="88" t="n">
        <f aca="false">G64*AP64</f>
        <v>0</v>
      </c>
      <c r="BJ64" s="88" t="n">
        <f aca="false">G64*H64</f>
        <v>0</v>
      </c>
      <c r="BK64" s="87" t="s">
        <v>159</v>
      </c>
      <c r="BL64" s="88" t="n">
        <v>18</v>
      </c>
      <c r="BW64" s="88" t="n">
        <v>21</v>
      </c>
      <c r="BX64" s="9" t="s">
        <v>509</v>
      </c>
    </row>
    <row r="65" customFormat="false" ht="15" hidden="false" customHeight="true" outlineLevel="0" collapsed="false">
      <c r="A65" s="134" t="s">
        <v>331</v>
      </c>
      <c r="B65" s="134" t="s">
        <v>109</v>
      </c>
      <c r="C65" s="134" t="s">
        <v>511</v>
      </c>
      <c r="D65" s="135" t="s">
        <v>512</v>
      </c>
      <c r="E65" s="135"/>
      <c r="F65" s="134" t="s">
        <v>169</v>
      </c>
      <c r="G65" s="136" t="n">
        <f aca="false">'Stavební rozpočet'!G136</f>
        <v>9.8</v>
      </c>
      <c r="H65" s="137" t="n">
        <f aca="false">'Stavební rozpočet'!H136</f>
        <v>0</v>
      </c>
      <c r="I65" s="137" t="n">
        <f aca="false">ROUND(G65*AO65,2)</f>
        <v>0</v>
      </c>
      <c r="J65" s="137" t="n">
        <f aca="false">ROUND(G65*AP65,2)</f>
        <v>0</v>
      </c>
      <c r="K65" s="137" t="n">
        <f aca="false">ROUND(G65*H65,2)</f>
        <v>0</v>
      </c>
      <c r="L65" s="137" t="n">
        <f aca="false">'Stavební rozpočet'!L136</f>
        <v>0</v>
      </c>
      <c r="M65" s="137" t="n">
        <f aca="false">G65*L65</f>
        <v>0</v>
      </c>
      <c r="N65" s="138" t="s">
        <v>155</v>
      </c>
      <c r="Z65" s="88" t="n">
        <f aca="false">ROUND(IF(AQ65="5",BJ65,0),2)</f>
        <v>0</v>
      </c>
      <c r="AB65" s="88" t="n">
        <f aca="false">ROUND(IF(AQ65="1",BH65,0),2)</f>
        <v>0</v>
      </c>
      <c r="AC65" s="88" t="n">
        <f aca="false">ROUND(IF(AQ65="1",BI65,0),2)</f>
        <v>0</v>
      </c>
      <c r="AD65" s="88" t="n">
        <f aca="false">ROUND(IF(AQ65="7",BH65,0),2)</f>
        <v>0</v>
      </c>
      <c r="AE65" s="88" t="n">
        <f aca="false">ROUND(IF(AQ65="7",BI65,0),2)</f>
        <v>0</v>
      </c>
      <c r="AF65" s="88" t="n">
        <f aca="false">ROUND(IF(AQ65="2",BH65,0),2)</f>
        <v>0</v>
      </c>
      <c r="AG65" s="88" t="n">
        <f aca="false">ROUND(IF(AQ65="2",BI65,0),2)</f>
        <v>0</v>
      </c>
      <c r="AH65" s="88" t="n">
        <f aca="false">ROUND(IF(AQ65="0",BJ65,0),2)</f>
        <v>0</v>
      </c>
      <c r="AI65" s="116" t="s">
        <v>109</v>
      </c>
      <c r="AJ65" s="88" t="n">
        <f aca="false">IF(AN65=0,K65,0)</f>
        <v>0</v>
      </c>
      <c r="AK65" s="88" t="n">
        <f aca="false">IF(AN65=12,K65,0)</f>
        <v>0</v>
      </c>
      <c r="AL65" s="88" t="n">
        <f aca="false">IF(AN65=21,K65,0)</f>
        <v>0</v>
      </c>
      <c r="AN65" s="88" t="n">
        <v>21</v>
      </c>
      <c r="AO65" s="88" t="n">
        <f aca="false">H65*0</f>
        <v>0</v>
      </c>
      <c r="AP65" s="88" t="n">
        <f aca="false">H65*(1-0)</f>
        <v>0</v>
      </c>
      <c r="AQ65" s="87" t="s">
        <v>151</v>
      </c>
      <c r="AV65" s="88" t="n">
        <f aca="false">ROUND(AW65+AX65,2)</f>
        <v>0</v>
      </c>
      <c r="AW65" s="88" t="n">
        <f aca="false">ROUND(G65*AO65,2)</f>
        <v>0</v>
      </c>
      <c r="AX65" s="88" t="n">
        <f aca="false">ROUND(G65*AP65,2)</f>
        <v>0</v>
      </c>
      <c r="AY65" s="87" t="s">
        <v>389</v>
      </c>
      <c r="AZ65" s="87" t="s">
        <v>367</v>
      </c>
      <c r="BA65" s="116" t="s">
        <v>368</v>
      </c>
      <c r="BC65" s="88" t="n">
        <f aca="false">AW65+AX65</f>
        <v>0</v>
      </c>
      <c r="BD65" s="88" t="n">
        <f aca="false">H65/(100-BE65)*100</f>
        <v>0</v>
      </c>
      <c r="BE65" s="88" t="n">
        <v>0</v>
      </c>
      <c r="BF65" s="88" t="n">
        <f aca="false">M65</f>
        <v>0</v>
      </c>
      <c r="BH65" s="88" t="n">
        <f aca="false">G65*AO65</f>
        <v>0</v>
      </c>
      <c r="BI65" s="88" t="n">
        <f aca="false">G65*AP65</f>
        <v>0</v>
      </c>
      <c r="BJ65" s="88" t="n">
        <f aca="false">G65*H65</f>
        <v>0</v>
      </c>
      <c r="BK65" s="87" t="s">
        <v>159</v>
      </c>
      <c r="BL65" s="88" t="n">
        <v>18</v>
      </c>
      <c r="BW65" s="88" t="n">
        <v>21</v>
      </c>
      <c r="BX65" s="9" t="s">
        <v>512</v>
      </c>
    </row>
    <row r="66" customFormat="false" ht="23.85" hidden="false" customHeight="true" outlineLevel="0" collapsed="false">
      <c r="A66" s="134" t="s">
        <v>333</v>
      </c>
      <c r="B66" s="134" t="s">
        <v>109</v>
      </c>
      <c r="C66" s="134" t="s">
        <v>365</v>
      </c>
      <c r="D66" s="135" t="s">
        <v>366</v>
      </c>
      <c r="E66" s="135"/>
      <c r="F66" s="134" t="s">
        <v>169</v>
      </c>
      <c r="G66" s="136" t="n">
        <f aca="false">'Stavební rozpočet'!G137</f>
        <v>19.6</v>
      </c>
      <c r="H66" s="137" t="n">
        <f aca="false">'Stavební rozpočet'!H137</f>
        <v>0</v>
      </c>
      <c r="I66" s="137" t="n">
        <f aca="false">ROUND(G66*AO66,2)</f>
        <v>0</v>
      </c>
      <c r="J66" s="137" t="n">
        <f aca="false">ROUND(G66*AP66,2)</f>
        <v>0</v>
      </c>
      <c r="K66" s="137" t="n">
        <f aca="false">ROUND(G66*H66,2)</f>
        <v>0</v>
      </c>
      <c r="L66" s="137" t="n">
        <f aca="false">'Stavební rozpočet'!L137</f>
        <v>0</v>
      </c>
      <c r="M66" s="137" t="n">
        <f aca="false">G66*L66</f>
        <v>0</v>
      </c>
      <c r="N66" s="138" t="s">
        <v>155</v>
      </c>
      <c r="Z66" s="88" t="n">
        <f aca="false">ROUND(IF(AQ66="5",BJ66,0),2)</f>
        <v>0</v>
      </c>
      <c r="AB66" s="88" t="n">
        <f aca="false">ROUND(IF(AQ66="1",BH66,0),2)</f>
        <v>0</v>
      </c>
      <c r="AC66" s="88" t="n">
        <f aca="false">ROUND(IF(AQ66="1",BI66,0),2)</f>
        <v>0</v>
      </c>
      <c r="AD66" s="88" t="n">
        <f aca="false">ROUND(IF(AQ66="7",BH66,0),2)</f>
        <v>0</v>
      </c>
      <c r="AE66" s="88" t="n">
        <f aca="false">ROUND(IF(AQ66="7",BI66,0),2)</f>
        <v>0</v>
      </c>
      <c r="AF66" s="88" t="n">
        <f aca="false">ROUND(IF(AQ66="2",BH66,0),2)</f>
        <v>0</v>
      </c>
      <c r="AG66" s="88" t="n">
        <f aca="false">ROUND(IF(AQ66="2",BI66,0),2)</f>
        <v>0</v>
      </c>
      <c r="AH66" s="88" t="n">
        <f aca="false">ROUND(IF(AQ66="0",BJ66,0),2)</f>
        <v>0</v>
      </c>
      <c r="AI66" s="116" t="s">
        <v>109</v>
      </c>
      <c r="AJ66" s="88" t="n">
        <f aca="false">IF(AN66=0,K66,0)</f>
        <v>0</v>
      </c>
      <c r="AK66" s="88" t="n">
        <f aca="false">IF(AN66=12,K66,0)</f>
        <v>0</v>
      </c>
      <c r="AL66" s="88" t="n">
        <f aca="false">IF(AN66=21,K66,0)</f>
        <v>0</v>
      </c>
      <c r="AN66" s="88" t="n">
        <v>21</v>
      </c>
      <c r="AO66" s="88" t="n">
        <f aca="false">H66*0.007235676</f>
        <v>0</v>
      </c>
      <c r="AP66" s="88" t="n">
        <f aca="false">H66*(1-0.007235676)</f>
        <v>0</v>
      </c>
      <c r="AQ66" s="87" t="s">
        <v>151</v>
      </c>
      <c r="AV66" s="88" t="n">
        <f aca="false">ROUND(AW66+AX66,2)</f>
        <v>0</v>
      </c>
      <c r="AW66" s="88" t="n">
        <f aca="false">ROUND(G66*AO66,2)</f>
        <v>0</v>
      </c>
      <c r="AX66" s="88" t="n">
        <f aca="false">ROUND(G66*AP66,2)</f>
        <v>0</v>
      </c>
      <c r="AY66" s="87" t="s">
        <v>389</v>
      </c>
      <c r="AZ66" s="87" t="s">
        <v>367</v>
      </c>
      <c r="BA66" s="116" t="s">
        <v>368</v>
      </c>
      <c r="BC66" s="88" t="n">
        <f aca="false">AW66+AX66</f>
        <v>0</v>
      </c>
      <c r="BD66" s="88" t="n">
        <f aca="false">H66/(100-BE66)*100</f>
        <v>0</v>
      </c>
      <c r="BE66" s="88" t="n">
        <v>0</v>
      </c>
      <c r="BF66" s="88" t="n">
        <f aca="false">M66</f>
        <v>0</v>
      </c>
      <c r="BH66" s="88" t="n">
        <f aca="false">G66*AO66</f>
        <v>0</v>
      </c>
      <c r="BI66" s="88" t="n">
        <f aca="false">G66*AP66</f>
        <v>0</v>
      </c>
      <c r="BJ66" s="88" t="n">
        <f aca="false">G66*H66</f>
        <v>0</v>
      </c>
      <c r="BK66" s="87" t="s">
        <v>159</v>
      </c>
      <c r="BL66" s="88" t="n">
        <v>18</v>
      </c>
      <c r="BW66" s="88" t="n">
        <v>21</v>
      </c>
      <c r="BX66" s="9" t="s">
        <v>366</v>
      </c>
    </row>
    <row r="67" customFormat="false" ht="15" hidden="false" customHeight="true" outlineLevel="0" collapsed="false">
      <c r="A67" s="139" t="s">
        <v>338</v>
      </c>
      <c r="B67" s="139" t="s">
        <v>109</v>
      </c>
      <c r="C67" s="139" t="s">
        <v>370</v>
      </c>
      <c r="D67" s="140" t="s">
        <v>371</v>
      </c>
      <c r="E67" s="140"/>
      <c r="F67" s="139" t="s">
        <v>372</v>
      </c>
      <c r="G67" s="141" t="n">
        <f aca="false">'Stavební rozpočet'!G138</f>
        <v>0.001</v>
      </c>
      <c r="H67" s="142" t="n">
        <f aca="false">'Stavební rozpočet'!H138</f>
        <v>0</v>
      </c>
      <c r="I67" s="142" t="n">
        <f aca="false">ROUND(G67*AO67,2)</f>
        <v>0</v>
      </c>
      <c r="J67" s="142" t="n">
        <f aca="false">ROUND(G67*AP67,2)</f>
        <v>0</v>
      </c>
      <c r="K67" s="142" t="n">
        <f aca="false">ROUND(G67*H67,2)</f>
        <v>0</v>
      </c>
      <c r="L67" s="142" t="n">
        <f aca="false">'Stavební rozpočet'!L138</f>
        <v>0.001</v>
      </c>
      <c r="M67" s="142" t="n">
        <f aca="false">G67*L67</f>
        <v>1E-006</v>
      </c>
      <c r="N67" s="143" t="s">
        <v>155</v>
      </c>
      <c r="Z67" s="88" t="n">
        <f aca="false">ROUND(IF(AQ67="5",BJ67,0),2)</f>
        <v>0</v>
      </c>
      <c r="AB67" s="88" t="n">
        <f aca="false">ROUND(IF(AQ67="1",BH67,0),2)</f>
        <v>0</v>
      </c>
      <c r="AC67" s="88" t="n">
        <f aca="false">ROUND(IF(AQ67="1",BI67,0),2)</f>
        <v>0</v>
      </c>
      <c r="AD67" s="88" t="n">
        <f aca="false">ROUND(IF(AQ67="7",BH67,0),2)</f>
        <v>0</v>
      </c>
      <c r="AE67" s="88" t="n">
        <f aca="false">ROUND(IF(AQ67="7",BI67,0),2)</f>
        <v>0</v>
      </c>
      <c r="AF67" s="88" t="n">
        <f aca="false">ROUND(IF(AQ67="2",BH67,0),2)</f>
        <v>0</v>
      </c>
      <c r="AG67" s="88" t="n">
        <f aca="false">ROUND(IF(AQ67="2",BI67,0),2)</f>
        <v>0</v>
      </c>
      <c r="AH67" s="88" t="n">
        <f aca="false">ROUND(IF(AQ67="0",BJ67,0),2)</f>
        <v>0</v>
      </c>
      <c r="AI67" s="116" t="s">
        <v>109</v>
      </c>
      <c r="AJ67" s="144" t="n">
        <f aca="false">IF(AN67=0,K67,0)</f>
        <v>0</v>
      </c>
      <c r="AK67" s="144" t="n">
        <f aca="false">IF(AN67=12,K67,0)</f>
        <v>0</v>
      </c>
      <c r="AL67" s="144" t="n">
        <f aca="false">IF(AN67=21,K67,0)</f>
        <v>0</v>
      </c>
      <c r="AN67" s="88" t="n">
        <v>21</v>
      </c>
      <c r="AO67" s="88" t="n">
        <f aca="false">H67*1</f>
        <v>0</v>
      </c>
      <c r="AP67" s="88" t="n">
        <f aca="false">H67*(1-1)</f>
        <v>0</v>
      </c>
      <c r="AQ67" s="145" t="s">
        <v>151</v>
      </c>
      <c r="AV67" s="88" t="n">
        <f aca="false">ROUND(AW67+AX67,2)</f>
        <v>0</v>
      </c>
      <c r="AW67" s="88" t="n">
        <f aca="false">ROUND(G67*AO67,2)</f>
        <v>0</v>
      </c>
      <c r="AX67" s="88" t="n">
        <f aca="false">ROUND(G67*AP67,2)</f>
        <v>0</v>
      </c>
      <c r="AY67" s="87" t="s">
        <v>389</v>
      </c>
      <c r="AZ67" s="87" t="s">
        <v>367</v>
      </c>
      <c r="BA67" s="116" t="s">
        <v>368</v>
      </c>
      <c r="BC67" s="88" t="n">
        <f aca="false">AW67+AX67</f>
        <v>0</v>
      </c>
      <c r="BD67" s="88" t="n">
        <f aca="false">H67/(100-BE67)*100</f>
        <v>0</v>
      </c>
      <c r="BE67" s="88" t="n">
        <v>0</v>
      </c>
      <c r="BF67" s="88" t="n">
        <f aca="false">M67</f>
        <v>1E-006</v>
      </c>
      <c r="BH67" s="144" t="n">
        <f aca="false">G67*AO67</f>
        <v>0</v>
      </c>
      <c r="BI67" s="144" t="n">
        <f aca="false">G67*AP67</f>
        <v>0</v>
      </c>
      <c r="BJ67" s="144" t="n">
        <f aca="false">G67*H67</f>
        <v>0</v>
      </c>
      <c r="BK67" s="145" t="s">
        <v>180</v>
      </c>
      <c r="BL67" s="88" t="n">
        <v>18</v>
      </c>
      <c r="BW67" s="88" t="n">
        <v>21</v>
      </c>
      <c r="BX67" s="146" t="s">
        <v>371</v>
      </c>
    </row>
    <row r="68" customFormat="false" ht="15" hidden="false" customHeight="true" outlineLevel="0" collapsed="false">
      <c r="A68" s="134" t="s">
        <v>343</v>
      </c>
      <c r="B68" s="134" t="s">
        <v>109</v>
      </c>
      <c r="C68" s="134" t="s">
        <v>410</v>
      </c>
      <c r="D68" s="135" t="s">
        <v>411</v>
      </c>
      <c r="E68" s="135"/>
      <c r="F68" s="134" t="s">
        <v>189</v>
      </c>
      <c r="G68" s="136" t="n">
        <f aca="false">'Stavební rozpočet'!G139</f>
        <v>0.196</v>
      </c>
      <c r="H68" s="137" t="n">
        <f aca="false">'Stavební rozpočet'!H139</f>
        <v>0</v>
      </c>
      <c r="I68" s="137" t="n">
        <f aca="false">ROUND(G68*AO68,2)</f>
        <v>0</v>
      </c>
      <c r="J68" s="137" t="n">
        <f aca="false">ROUND(G68*AP68,2)</f>
        <v>0</v>
      </c>
      <c r="K68" s="137" t="n">
        <f aca="false">ROUND(G68*H68,2)</f>
        <v>0</v>
      </c>
      <c r="L68" s="137" t="n">
        <f aca="false">'Stavební rozpočet'!L139</f>
        <v>0</v>
      </c>
      <c r="M68" s="137" t="n">
        <f aca="false">G68*L68</f>
        <v>0</v>
      </c>
      <c r="N68" s="138" t="s">
        <v>155</v>
      </c>
      <c r="Z68" s="88" t="n">
        <f aca="false">ROUND(IF(AQ68="5",BJ68,0),2)</f>
        <v>0</v>
      </c>
      <c r="AB68" s="88" t="n">
        <f aca="false">ROUND(IF(AQ68="1",BH68,0),2)</f>
        <v>0</v>
      </c>
      <c r="AC68" s="88" t="n">
        <f aca="false">ROUND(IF(AQ68="1",BI68,0),2)</f>
        <v>0</v>
      </c>
      <c r="AD68" s="88" t="n">
        <f aca="false">ROUND(IF(AQ68="7",BH68,0),2)</f>
        <v>0</v>
      </c>
      <c r="AE68" s="88" t="n">
        <f aca="false">ROUND(IF(AQ68="7",BI68,0),2)</f>
        <v>0</v>
      </c>
      <c r="AF68" s="88" t="n">
        <f aca="false">ROUND(IF(AQ68="2",BH68,0),2)</f>
        <v>0</v>
      </c>
      <c r="AG68" s="88" t="n">
        <f aca="false">ROUND(IF(AQ68="2",BI68,0),2)</f>
        <v>0</v>
      </c>
      <c r="AH68" s="88" t="n">
        <f aca="false">ROUND(IF(AQ68="0",BJ68,0),2)</f>
        <v>0</v>
      </c>
      <c r="AI68" s="116" t="s">
        <v>109</v>
      </c>
      <c r="AJ68" s="88" t="n">
        <f aca="false">IF(AN68=0,K68,0)</f>
        <v>0</v>
      </c>
      <c r="AK68" s="88" t="n">
        <f aca="false">IF(AN68=12,K68,0)</f>
        <v>0</v>
      </c>
      <c r="AL68" s="88" t="n">
        <f aca="false">IF(AN68=21,K68,0)</f>
        <v>0</v>
      </c>
      <c r="AN68" s="88" t="n">
        <v>21</v>
      </c>
      <c r="AO68" s="88" t="n">
        <f aca="false">H68*0.292862399</f>
        <v>0</v>
      </c>
      <c r="AP68" s="88" t="n">
        <f aca="false">H68*(1-0.292862399)</f>
        <v>0</v>
      </c>
      <c r="AQ68" s="87" t="s">
        <v>151</v>
      </c>
      <c r="AV68" s="88" t="n">
        <f aca="false">ROUND(AW68+AX68,2)</f>
        <v>0</v>
      </c>
      <c r="AW68" s="88" t="n">
        <f aca="false">ROUND(G68*AO68,2)</f>
        <v>0</v>
      </c>
      <c r="AX68" s="88" t="n">
        <f aca="false">ROUND(G68*AP68,2)</f>
        <v>0</v>
      </c>
      <c r="AY68" s="87" t="s">
        <v>389</v>
      </c>
      <c r="AZ68" s="87" t="s">
        <v>367</v>
      </c>
      <c r="BA68" s="116" t="s">
        <v>368</v>
      </c>
      <c r="BC68" s="88" t="n">
        <f aca="false">AW68+AX68</f>
        <v>0</v>
      </c>
      <c r="BD68" s="88" t="n">
        <f aca="false">H68/(100-BE68)*100</f>
        <v>0</v>
      </c>
      <c r="BE68" s="88" t="n">
        <v>0</v>
      </c>
      <c r="BF68" s="88" t="n">
        <f aca="false">M68</f>
        <v>0</v>
      </c>
      <c r="BH68" s="88" t="n">
        <f aca="false">G68*AO68</f>
        <v>0</v>
      </c>
      <c r="BI68" s="88" t="n">
        <f aca="false">G68*AP68</f>
        <v>0</v>
      </c>
      <c r="BJ68" s="88" t="n">
        <f aca="false">G68*H68</f>
        <v>0</v>
      </c>
      <c r="BK68" s="87" t="s">
        <v>159</v>
      </c>
      <c r="BL68" s="88" t="n">
        <v>18</v>
      </c>
      <c r="BW68" s="88" t="n">
        <v>21</v>
      </c>
      <c r="BX68" s="9" t="s">
        <v>411</v>
      </c>
    </row>
    <row r="69" customFormat="false" ht="15" hidden="false" customHeight="true" outlineLevel="0" collapsed="false">
      <c r="A69" s="134" t="s">
        <v>348</v>
      </c>
      <c r="B69" s="134" t="s">
        <v>109</v>
      </c>
      <c r="C69" s="134" t="s">
        <v>413</v>
      </c>
      <c r="D69" s="135" t="s">
        <v>414</v>
      </c>
      <c r="E69" s="135"/>
      <c r="F69" s="134" t="s">
        <v>189</v>
      </c>
      <c r="G69" s="136" t="n">
        <f aca="false">'Stavební rozpočet'!G140</f>
        <v>0.196</v>
      </c>
      <c r="H69" s="137" t="n">
        <f aca="false">'Stavební rozpočet'!H140</f>
        <v>0</v>
      </c>
      <c r="I69" s="137" t="n">
        <f aca="false">ROUND(G69*AO69,2)</f>
        <v>0</v>
      </c>
      <c r="J69" s="137" t="n">
        <f aca="false">ROUND(G69*AP69,2)</f>
        <v>0</v>
      </c>
      <c r="K69" s="137" t="n">
        <f aca="false">ROUND(G69*H69,2)</f>
        <v>0</v>
      </c>
      <c r="L69" s="137" t="n">
        <f aca="false">'Stavební rozpočet'!L140</f>
        <v>0</v>
      </c>
      <c r="M69" s="137" t="n">
        <f aca="false">G69*L69</f>
        <v>0</v>
      </c>
      <c r="N69" s="138" t="s">
        <v>155</v>
      </c>
      <c r="Z69" s="88" t="n">
        <f aca="false">ROUND(IF(AQ69="5",BJ69,0),2)</f>
        <v>0</v>
      </c>
      <c r="AB69" s="88" t="n">
        <f aca="false">ROUND(IF(AQ69="1",BH69,0),2)</f>
        <v>0</v>
      </c>
      <c r="AC69" s="88" t="n">
        <f aca="false">ROUND(IF(AQ69="1",BI69,0),2)</f>
        <v>0</v>
      </c>
      <c r="AD69" s="88" t="n">
        <f aca="false">ROUND(IF(AQ69="7",BH69,0),2)</f>
        <v>0</v>
      </c>
      <c r="AE69" s="88" t="n">
        <f aca="false">ROUND(IF(AQ69="7",BI69,0),2)</f>
        <v>0</v>
      </c>
      <c r="AF69" s="88" t="n">
        <f aca="false">ROUND(IF(AQ69="2",BH69,0),2)</f>
        <v>0</v>
      </c>
      <c r="AG69" s="88" t="n">
        <f aca="false">ROUND(IF(AQ69="2",BI69,0),2)</f>
        <v>0</v>
      </c>
      <c r="AH69" s="88" t="n">
        <f aca="false">ROUND(IF(AQ69="0",BJ69,0),2)</f>
        <v>0</v>
      </c>
      <c r="AI69" s="116" t="s">
        <v>109</v>
      </c>
      <c r="AJ69" s="88" t="n">
        <f aca="false">IF(AN69=0,K69,0)</f>
        <v>0</v>
      </c>
      <c r="AK69" s="88" t="n">
        <f aca="false">IF(AN69=12,K69,0)</f>
        <v>0</v>
      </c>
      <c r="AL69" s="88" t="n">
        <f aca="false">IF(AN69=21,K69,0)</f>
        <v>0</v>
      </c>
      <c r="AN69" s="88" t="n">
        <v>21</v>
      </c>
      <c r="AO69" s="88" t="n">
        <f aca="false">H69*0</f>
        <v>0</v>
      </c>
      <c r="AP69" s="88" t="n">
        <f aca="false">H69*(1-0)</f>
        <v>0</v>
      </c>
      <c r="AQ69" s="87" t="s">
        <v>151</v>
      </c>
      <c r="AV69" s="88" t="n">
        <f aca="false">ROUND(AW69+AX69,2)</f>
        <v>0</v>
      </c>
      <c r="AW69" s="88" t="n">
        <f aca="false">ROUND(G69*AO69,2)</f>
        <v>0</v>
      </c>
      <c r="AX69" s="88" t="n">
        <f aca="false">ROUND(G69*AP69,2)</f>
        <v>0</v>
      </c>
      <c r="AY69" s="87" t="s">
        <v>389</v>
      </c>
      <c r="AZ69" s="87" t="s">
        <v>367</v>
      </c>
      <c r="BA69" s="116" t="s">
        <v>368</v>
      </c>
      <c r="BC69" s="88" t="n">
        <f aca="false">AW69+AX69</f>
        <v>0</v>
      </c>
      <c r="BD69" s="88" t="n">
        <f aca="false">H69/(100-BE69)*100</f>
        <v>0</v>
      </c>
      <c r="BE69" s="88" t="n">
        <v>0</v>
      </c>
      <c r="BF69" s="88" t="n">
        <f aca="false">M69</f>
        <v>0</v>
      </c>
      <c r="BH69" s="88" t="n">
        <f aca="false">G69*AO69</f>
        <v>0</v>
      </c>
      <c r="BI69" s="88" t="n">
        <f aca="false">G69*AP69</f>
        <v>0</v>
      </c>
      <c r="BJ69" s="88" t="n">
        <f aca="false">G69*H69</f>
        <v>0</v>
      </c>
      <c r="BK69" s="87" t="s">
        <v>159</v>
      </c>
      <c r="BL69" s="88" t="n">
        <v>18</v>
      </c>
      <c r="BW69" s="88" t="n">
        <v>21</v>
      </c>
      <c r="BX69" s="9" t="s">
        <v>414</v>
      </c>
    </row>
    <row r="70" customFormat="false" ht="15" hidden="false" customHeight="true" outlineLevel="0" collapsed="false">
      <c r="A70" s="134" t="s">
        <v>352</v>
      </c>
      <c r="B70" s="134" t="s">
        <v>109</v>
      </c>
      <c r="C70" s="134" t="s">
        <v>518</v>
      </c>
      <c r="D70" s="135" t="s">
        <v>519</v>
      </c>
      <c r="E70" s="135"/>
      <c r="F70" s="134" t="s">
        <v>169</v>
      </c>
      <c r="G70" s="136" t="n">
        <f aca="false">'Stavební rozpočet'!G141</f>
        <v>9.8</v>
      </c>
      <c r="H70" s="137" t="n">
        <f aca="false">'Stavební rozpočet'!H141</f>
        <v>0</v>
      </c>
      <c r="I70" s="137" t="n">
        <f aca="false">ROUND(G70*AO70,2)</f>
        <v>0</v>
      </c>
      <c r="J70" s="137" t="n">
        <f aca="false">ROUND(G70*AP70,2)</f>
        <v>0</v>
      </c>
      <c r="K70" s="137" t="n">
        <f aca="false">ROUND(G70*H70,2)</f>
        <v>0</v>
      </c>
      <c r="L70" s="137" t="n">
        <f aca="false">'Stavební rozpočet'!L141</f>
        <v>0</v>
      </c>
      <c r="M70" s="137" t="n">
        <f aca="false">G70*L70</f>
        <v>0</v>
      </c>
      <c r="N70" s="138" t="s">
        <v>155</v>
      </c>
      <c r="Z70" s="88" t="n">
        <f aca="false">ROUND(IF(AQ70="5",BJ70,0),2)</f>
        <v>0</v>
      </c>
      <c r="AB70" s="88" t="n">
        <f aca="false">ROUND(IF(AQ70="1",BH70,0),2)</f>
        <v>0</v>
      </c>
      <c r="AC70" s="88" t="n">
        <f aca="false">ROUND(IF(AQ70="1",BI70,0),2)</f>
        <v>0</v>
      </c>
      <c r="AD70" s="88" t="n">
        <f aca="false">ROUND(IF(AQ70="7",BH70,0),2)</f>
        <v>0</v>
      </c>
      <c r="AE70" s="88" t="n">
        <f aca="false">ROUND(IF(AQ70="7",BI70,0),2)</f>
        <v>0</v>
      </c>
      <c r="AF70" s="88" t="n">
        <f aca="false">ROUND(IF(AQ70="2",BH70,0),2)</f>
        <v>0</v>
      </c>
      <c r="AG70" s="88" t="n">
        <f aca="false">ROUND(IF(AQ70="2",BI70,0),2)</f>
        <v>0</v>
      </c>
      <c r="AH70" s="88" t="n">
        <f aca="false">ROUND(IF(AQ70="0",BJ70,0),2)</f>
        <v>0</v>
      </c>
      <c r="AI70" s="116" t="s">
        <v>109</v>
      </c>
      <c r="AJ70" s="88" t="n">
        <f aca="false">IF(AN70=0,K70,0)</f>
        <v>0</v>
      </c>
      <c r="AK70" s="88" t="n">
        <f aca="false">IF(AN70=12,K70,0)</f>
        <v>0</v>
      </c>
      <c r="AL70" s="88" t="n">
        <f aca="false">IF(AN70=21,K70,0)</f>
        <v>0</v>
      </c>
      <c r="AN70" s="88" t="n">
        <v>21</v>
      </c>
      <c r="AO70" s="88" t="n">
        <f aca="false">H70*0</f>
        <v>0</v>
      </c>
      <c r="AP70" s="88" t="n">
        <f aca="false">H70*(1-0)</f>
        <v>0</v>
      </c>
      <c r="AQ70" s="87" t="s">
        <v>151</v>
      </c>
      <c r="AV70" s="88" t="n">
        <f aca="false">ROUND(AW70+AX70,2)</f>
        <v>0</v>
      </c>
      <c r="AW70" s="88" t="n">
        <f aca="false">ROUND(G70*AO70,2)</f>
        <v>0</v>
      </c>
      <c r="AX70" s="88" t="n">
        <f aca="false">ROUND(G70*AP70,2)</f>
        <v>0</v>
      </c>
      <c r="AY70" s="87" t="s">
        <v>389</v>
      </c>
      <c r="AZ70" s="87" t="s">
        <v>367</v>
      </c>
      <c r="BA70" s="116" t="s">
        <v>368</v>
      </c>
      <c r="BC70" s="88" t="n">
        <f aca="false">AW70+AX70</f>
        <v>0</v>
      </c>
      <c r="BD70" s="88" t="n">
        <f aca="false">H70/(100-BE70)*100</f>
        <v>0</v>
      </c>
      <c r="BE70" s="88" t="n">
        <v>0</v>
      </c>
      <c r="BF70" s="88" t="n">
        <f aca="false">M70</f>
        <v>0</v>
      </c>
      <c r="BH70" s="88" t="n">
        <f aca="false">G70*AO70</f>
        <v>0</v>
      </c>
      <c r="BI70" s="88" t="n">
        <f aca="false">G70*AP70</f>
        <v>0</v>
      </c>
      <c r="BJ70" s="88" t="n">
        <f aca="false">G70*H70</f>
        <v>0</v>
      </c>
      <c r="BK70" s="87" t="s">
        <v>159</v>
      </c>
      <c r="BL70" s="88" t="n">
        <v>18</v>
      </c>
      <c r="BW70" s="88" t="n">
        <v>21</v>
      </c>
      <c r="BX70" s="9" t="s">
        <v>519</v>
      </c>
    </row>
    <row r="71" customFormat="false" ht="24.05" hidden="false" customHeight="true" outlineLevel="0" collapsed="false">
      <c r="A71" s="139" t="s">
        <v>355</v>
      </c>
      <c r="B71" s="139" t="s">
        <v>109</v>
      </c>
      <c r="C71" s="139" t="s">
        <v>521</v>
      </c>
      <c r="D71" s="140" t="s">
        <v>522</v>
      </c>
      <c r="E71" s="140"/>
      <c r="F71" s="139" t="s">
        <v>179</v>
      </c>
      <c r="G71" s="141" t="n">
        <f aca="false">'Stavební rozpočet'!G142</f>
        <v>1.725</v>
      </c>
      <c r="H71" s="142" t="n">
        <f aca="false">'Stavební rozpočet'!H142</f>
        <v>0</v>
      </c>
      <c r="I71" s="142" t="n">
        <f aca="false">ROUND(G71*AO71,2)</f>
        <v>0</v>
      </c>
      <c r="J71" s="142" t="n">
        <f aca="false">ROUND(G71*AP71,2)</f>
        <v>0</v>
      </c>
      <c r="K71" s="142" t="n">
        <f aca="false">ROUND(G71*H71,2)</f>
        <v>0</v>
      </c>
      <c r="L71" s="142" t="n">
        <f aca="false">'Stavební rozpočet'!L142</f>
        <v>1</v>
      </c>
      <c r="M71" s="142" t="n">
        <f aca="false">G71*L71</f>
        <v>1.725</v>
      </c>
      <c r="N71" s="143" t="s">
        <v>155</v>
      </c>
      <c r="Z71" s="88" t="n">
        <f aca="false">ROUND(IF(AQ71="5",BJ71,0),2)</f>
        <v>0</v>
      </c>
      <c r="AB71" s="88" t="n">
        <f aca="false">ROUND(IF(AQ71="1",BH71,0),2)</f>
        <v>0</v>
      </c>
      <c r="AC71" s="88" t="n">
        <f aca="false">ROUND(IF(AQ71="1",BI71,0),2)</f>
        <v>0</v>
      </c>
      <c r="AD71" s="88" t="n">
        <f aca="false">ROUND(IF(AQ71="7",BH71,0),2)</f>
        <v>0</v>
      </c>
      <c r="AE71" s="88" t="n">
        <f aca="false">ROUND(IF(AQ71="7",BI71,0),2)</f>
        <v>0</v>
      </c>
      <c r="AF71" s="88" t="n">
        <f aca="false">ROUND(IF(AQ71="2",BH71,0),2)</f>
        <v>0</v>
      </c>
      <c r="AG71" s="88" t="n">
        <f aca="false">ROUND(IF(AQ71="2",BI71,0),2)</f>
        <v>0</v>
      </c>
      <c r="AH71" s="88" t="n">
        <f aca="false">ROUND(IF(AQ71="0",BJ71,0),2)</f>
        <v>0</v>
      </c>
      <c r="AI71" s="116" t="s">
        <v>109</v>
      </c>
      <c r="AJ71" s="144" t="n">
        <f aca="false">IF(AN71=0,K71,0)</f>
        <v>0</v>
      </c>
      <c r="AK71" s="144" t="n">
        <f aca="false">IF(AN71=12,K71,0)</f>
        <v>0</v>
      </c>
      <c r="AL71" s="144" t="n">
        <f aca="false">IF(AN71=21,K71,0)</f>
        <v>0</v>
      </c>
      <c r="AN71" s="88" t="n">
        <v>21</v>
      </c>
      <c r="AO71" s="88" t="n">
        <f aca="false">H71*1</f>
        <v>0</v>
      </c>
      <c r="AP71" s="88" t="n">
        <f aca="false">H71*(1-1)</f>
        <v>0</v>
      </c>
      <c r="AQ71" s="145" t="s">
        <v>151</v>
      </c>
      <c r="AV71" s="88" t="n">
        <f aca="false">ROUND(AW71+AX71,2)</f>
        <v>0</v>
      </c>
      <c r="AW71" s="88" t="n">
        <f aca="false">ROUND(G71*AO71,2)</f>
        <v>0</v>
      </c>
      <c r="AX71" s="88" t="n">
        <f aca="false">ROUND(G71*AP71,2)</f>
        <v>0</v>
      </c>
      <c r="AY71" s="87" t="s">
        <v>389</v>
      </c>
      <c r="AZ71" s="87" t="s">
        <v>367</v>
      </c>
      <c r="BA71" s="116" t="s">
        <v>368</v>
      </c>
      <c r="BC71" s="88" t="n">
        <f aca="false">AW71+AX71</f>
        <v>0</v>
      </c>
      <c r="BD71" s="88" t="n">
        <f aca="false">H71/(100-BE71)*100</f>
        <v>0</v>
      </c>
      <c r="BE71" s="88" t="n">
        <v>0</v>
      </c>
      <c r="BF71" s="88" t="n">
        <f aca="false">M71</f>
        <v>1.725</v>
      </c>
      <c r="BH71" s="144" t="n">
        <f aca="false">G71*AO71</f>
        <v>0</v>
      </c>
      <c r="BI71" s="144" t="n">
        <f aca="false">G71*AP71</f>
        <v>0</v>
      </c>
      <c r="BJ71" s="144" t="n">
        <f aca="false">G71*H71</f>
        <v>0</v>
      </c>
      <c r="BK71" s="145" t="s">
        <v>180</v>
      </c>
      <c r="BL71" s="88" t="n">
        <v>18</v>
      </c>
      <c r="BW71" s="88" t="n">
        <v>21</v>
      </c>
      <c r="BX71" s="146" t="s">
        <v>522</v>
      </c>
    </row>
    <row r="72" customFormat="false" ht="15" hidden="false" customHeight="true" outlineLevel="0" collapsed="false">
      <c r="A72" s="134" t="s">
        <v>358</v>
      </c>
      <c r="B72" s="134" t="s">
        <v>109</v>
      </c>
      <c r="C72" s="134" t="s">
        <v>524</v>
      </c>
      <c r="D72" s="135" t="s">
        <v>525</v>
      </c>
      <c r="E72" s="135"/>
      <c r="F72" s="134" t="s">
        <v>179</v>
      </c>
      <c r="G72" s="136" t="n">
        <f aca="false">'Stavební rozpočet'!G143</f>
        <v>6.919</v>
      </c>
      <c r="H72" s="137" t="n">
        <f aca="false">'Stavební rozpočet'!H143</f>
        <v>0</v>
      </c>
      <c r="I72" s="137" t="n">
        <f aca="false">ROUND(G72*AO72,2)</f>
        <v>0</v>
      </c>
      <c r="J72" s="137" t="n">
        <f aca="false">ROUND(G72*AP72,2)</f>
        <v>0</v>
      </c>
      <c r="K72" s="137" t="n">
        <f aca="false">ROUND(G72*H72,2)</f>
        <v>0</v>
      </c>
      <c r="L72" s="137" t="n">
        <f aca="false">'Stavební rozpočet'!L143</f>
        <v>0</v>
      </c>
      <c r="M72" s="137" t="n">
        <f aca="false">G72*L72</f>
        <v>0</v>
      </c>
      <c r="N72" s="138" t="s">
        <v>155</v>
      </c>
      <c r="Z72" s="88" t="n">
        <f aca="false">ROUND(IF(AQ72="5",BJ72,0),2)</f>
        <v>0</v>
      </c>
      <c r="AB72" s="88" t="n">
        <f aca="false">ROUND(IF(AQ72="1",BH72,0),2)</f>
        <v>0</v>
      </c>
      <c r="AC72" s="88" t="n">
        <f aca="false">ROUND(IF(AQ72="1",BI72,0),2)</f>
        <v>0</v>
      </c>
      <c r="AD72" s="88" t="n">
        <f aca="false">ROUND(IF(AQ72="7",BH72,0),2)</f>
        <v>0</v>
      </c>
      <c r="AE72" s="88" t="n">
        <f aca="false">ROUND(IF(AQ72="7",BI72,0),2)</f>
        <v>0</v>
      </c>
      <c r="AF72" s="88" t="n">
        <f aca="false">ROUND(IF(AQ72="2",BH72,0),2)</f>
        <v>0</v>
      </c>
      <c r="AG72" s="88" t="n">
        <f aca="false">ROUND(IF(AQ72="2",BI72,0),2)</f>
        <v>0</v>
      </c>
      <c r="AH72" s="88" t="n">
        <f aca="false">ROUND(IF(AQ72="0",BJ72,0),2)</f>
        <v>0</v>
      </c>
      <c r="AI72" s="116" t="s">
        <v>109</v>
      </c>
      <c r="AJ72" s="88" t="n">
        <f aca="false">IF(AN72=0,K72,0)</f>
        <v>0</v>
      </c>
      <c r="AK72" s="88" t="n">
        <f aca="false">IF(AN72=12,K72,0)</f>
        <v>0</v>
      </c>
      <c r="AL72" s="88" t="n">
        <f aca="false">IF(AN72=21,K72,0)</f>
        <v>0</v>
      </c>
      <c r="AN72" s="88" t="n">
        <v>21</v>
      </c>
      <c r="AO72" s="88" t="n">
        <f aca="false">H72*0</f>
        <v>0</v>
      </c>
      <c r="AP72" s="88" t="n">
        <f aca="false">H72*(1-0)</f>
        <v>0</v>
      </c>
      <c r="AQ72" s="87" t="s">
        <v>170</v>
      </c>
      <c r="AV72" s="88" t="n">
        <f aca="false">ROUND(AW72+AX72,2)</f>
        <v>0</v>
      </c>
      <c r="AW72" s="88" t="n">
        <f aca="false">ROUND(G72*AO72,2)</f>
        <v>0</v>
      </c>
      <c r="AX72" s="88" t="n">
        <f aca="false">ROUND(G72*AP72,2)</f>
        <v>0</v>
      </c>
      <c r="AY72" s="87" t="s">
        <v>389</v>
      </c>
      <c r="AZ72" s="87" t="s">
        <v>367</v>
      </c>
      <c r="BA72" s="116" t="s">
        <v>368</v>
      </c>
      <c r="BC72" s="88" t="n">
        <f aca="false">AW72+AX72</f>
        <v>0</v>
      </c>
      <c r="BD72" s="88" t="n">
        <f aca="false">H72/(100-BE72)*100</f>
        <v>0</v>
      </c>
      <c r="BE72" s="88" t="n">
        <v>0</v>
      </c>
      <c r="BF72" s="88" t="n">
        <f aca="false">M72</f>
        <v>0</v>
      </c>
      <c r="BH72" s="88" t="n">
        <f aca="false">G72*AO72</f>
        <v>0</v>
      </c>
      <c r="BI72" s="88" t="n">
        <f aca="false">G72*AP72</f>
        <v>0</v>
      </c>
      <c r="BJ72" s="88" t="n">
        <f aca="false">G72*H72</f>
        <v>0</v>
      </c>
      <c r="BK72" s="87" t="s">
        <v>159</v>
      </c>
      <c r="BL72" s="88" t="n">
        <v>18</v>
      </c>
      <c r="BW72" s="88" t="n">
        <v>21</v>
      </c>
      <c r="BX72" s="9" t="s">
        <v>525</v>
      </c>
    </row>
    <row r="73" customFormat="false" ht="15" hidden="false" customHeight="true" outlineLevel="0" collapsed="false">
      <c r="A73" s="128"/>
      <c r="B73" s="129" t="s">
        <v>109</v>
      </c>
      <c r="C73" s="129" t="s">
        <v>526</v>
      </c>
      <c r="D73" s="130" t="s">
        <v>527</v>
      </c>
      <c r="E73" s="130"/>
      <c r="F73" s="128" t="s">
        <v>97</v>
      </c>
      <c r="G73" s="131" t="s">
        <v>97</v>
      </c>
      <c r="H73" s="128" t="s">
        <v>97</v>
      </c>
      <c r="I73" s="132" t="n">
        <f aca="false">ROUND(SUM(I74:I80),2)</f>
        <v>0</v>
      </c>
      <c r="J73" s="132" t="n">
        <f aca="false">ROUND(SUM(J74:J80),2)</f>
        <v>0</v>
      </c>
      <c r="K73" s="132" t="n">
        <f aca="false">ROUND(SUM(K74:K80),2)</f>
        <v>0</v>
      </c>
      <c r="L73" s="133"/>
      <c r="M73" s="132" t="n">
        <f aca="false">SUM(M74:M80)</f>
        <v>0</v>
      </c>
      <c r="N73" s="133"/>
      <c r="AI73" s="116" t="s">
        <v>109</v>
      </c>
      <c r="AS73" s="107" t="n">
        <f aca="false">SUM(AJ74:AJ80)</f>
        <v>0</v>
      </c>
      <c r="AT73" s="107" t="n">
        <f aca="false">SUM(AK74:AK80)</f>
        <v>0</v>
      </c>
      <c r="AU73" s="107" t="n">
        <f aca="false">SUM(AL74:AL80)</f>
        <v>0</v>
      </c>
    </row>
    <row r="74" customFormat="false" ht="15" hidden="false" customHeight="true" outlineLevel="0" collapsed="false">
      <c r="A74" s="134" t="s">
        <v>274</v>
      </c>
      <c r="B74" s="134" t="s">
        <v>109</v>
      </c>
      <c r="C74" s="134" t="s">
        <v>410</v>
      </c>
      <c r="D74" s="135" t="s">
        <v>529</v>
      </c>
      <c r="E74" s="135"/>
      <c r="F74" s="134" t="s">
        <v>189</v>
      </c>
      <c r="G74" s="136" t="n">
        <f aca="false">'Stavební rozpočet'!G145</f>
        <v>3.37</v>
      </c>
      <c r="H74" s="137" t="n">
        <f aca="false">'Stavební rozpočet'!H145</f>
        <v>0</v>
      </c>
      <c r="I74" s="137" t="n">
        <f aca="false">ROUND(G74*AO74,2)</f>
        <v>0</v>
      </c>
      <c r="J74" s="137" t="n">
        <f aca="false">ROUND(G74*AP74,2)</f>
        <v>0</v>
      </c>
      <c r="K74" s="137" t="n">
        <f aca="false">ROUND(G74*H74,2)</f>
        <v>0</v>
      </c>
      <c r="L74" s="137" t="n">
        <f aca="false">'Stavební rozpočet'!L145</f>
        <v>0</v>
      </c>
      <c r="M74" s="137" t="n">
        <f aca="false">G74*L74</f>
        <v>0</v>
      </c>
      <c r="N74" s="138" t="s">
        <v>155</v>
      </c>
      <c r="Z74" s="88" t="n">
        <f aca="false">ROUND(IF(AQ74="5",BJ74,0),2)</f>
        <v>0</v>
      </c>
      <c r="AB74" s="88" t="n">
        <f aca="false">ROUND(IF(AQ74="1",BH74,0),2)</f>
        <v>0</v>
      </c>
      <c r="AC74" s="88" t="n">
        <f aca="false">ROUND(IF(AQ74="1",BI74,0),2)</f>
        <v>0</v>
      </c>
      <c r="AD74" s="88" t="n">
        <f aca="false">ROUND(IF(AQ74="7",BH74,0),2)</f>
        <v>0</v>
      </c>
      <c r="AE74" s="88" t="n">
        <f aca="false">ROUND(IF(AQ74="7",BI74,0),2)</f>
        <v>0</v>
      </c>
      <c r="AF74" s="88" t="n">
        <f aca="false">ROUND(IF(AQ74="2",BH74,0),2)</f>
        <v>0</v>
      </c>
      <c r="AG74" s="88" t="n">
        <f aca="false">ROUND(IF(AQ74="2",BI74,0),2)</f>
        <v>0</v>
      </c>
      <c r="AH74" s="88" t="n">
        <f aca="false">ROUND(IF(AQ74="0",BJ74,0),2)</f>
        <v>0</v>
      </c>
      <c r="AI74" s="116" t="s">
        <v>109</v>
      </c>
      <c r="AJ74" s="88" t="n">
        <f aca="false">IF(AN74=0,K74,0)</f>
        <v>0</v>
      </c>
      <c r="AK74" s="88" t="n">
        <f aca="false">IF(AN74=12,K74,0)</f>
        <v>0</v>
      </c>
      <c r="AL74" s="88" t="n">
        <f aca="false">IF(AN74=21,K74,0)</f>
        <v>0</v>
      </c>
      <c r="AN74" s="88" t="n">
        <v>21</v>
      </c>
      <c r="AO74" s="88" t="n">
        <f aca="false">H74*0.292841246</f>
        <v>0</v>
      </c>
      <c r="AP74" s="88" t="n">
        <f aca="false">H74*(1-0.292841246)</f>
        <v>0</v>
      </c>
      <c r="AQ74" s="87" t="s">
        <v>151</v>
      </c>
      <c r="AV74" s="88" t="n">
        <f aca="false">ROUND(AW74+AX74,2)</f>
        <v>0</v>
      </c>
      <c r="AW74" s="88" t="n">
        <f aca="false">ROUND(G74*AO74,2)</f>
        <v>0</v>
      </c>
      <c r="AX74" s="88" t="n">
        <f aca="false">ROUND(G74*AP74,2)</f>
        <v>0</v>
      </c>
      <c r="AY74" s="87" t="s">
        <v>530</v>
      </c>
      <c r="AZ74" s="87" t="s">
        <v>367</v>
      </c>
      <c r="BA74" s="116" t="s">
        <v>368</v>
      </c>
      <c r="BC74" s="88" t="n">
        <f aca="false">AW74+AX74</f>
        <v>0</v>
      </c>
      <c r="BD74" s="88" t="n">
        <f aca="false">H74/(100-BE74)*100</f>
        <v>0</v>
      </c>
      <c r="BE74" s="88" t="n">
        <v>0</v>
      </c>
      <c r="BF74" s="88" t="n">
        <f aca="false">M74</f>
        <v>0</v>
      </c>
      <c r="BH74" s="88" t="n">
        <f aca="false">G74*AO74</f>
        <v>0</v>
      </c>
      <c r="BI74" s="88" t="n">
        <f aca="false">G74*AP74</f>
        <v>0</v>
      </c>
      <c r="BJ74" s="88" t="n">
        <f aca="false">G74*H74</f>
        <v>0</v>
      </c>
      <c r="BK74" s="87" t="s">
        <v>159</v>
      </c>
      <c r="BL74" s="88"/>
      <c r="BW74" s="88" t="n">
        <v>21</v>
      </c>
      <c r="BX74" s="9" t="s">
        <v>529</v>
      </c>
    </row>
    <row r="75" customFormat="false" ht="24.05" hidden="false" customHeight="true" outlineLevel="0" collapsed="false">
      <c r="A75" s="134" t="s">
        <v>363</v>
      </c>
      <c r="B75" s="134" t="s">
        <v>109</v>
      </c>
      <c r="C75" s="134" t="s">
        <v>410</v>
      </c>
      <c r="D75" s="135" t="s">
        <v>532</v>
      </c>
      <c r="E75" s="135"/>
      <c r="F75" s="134" t="s">
        <v>189</v>
      </c>
      <c r="G75" s="136" t="n">
        <f aca="false">'Stavební rozpočet'!G146</f>
        <v>3.528</v>
      </c>
      <c r="H75" s="137" t="n">
        <f aca="false">'Stavební rozpočet'!H146</f>
        <v>0</v>
      </c>
      <c r="I75" s="137" t="n">
        <f aca="false">ROUND(G75*AO75,2)</f>
        <v>0</v>
      </c>
      <c r="J75" s="137" t="n">
        <f aca="false">ROUND(G75*AP75,2)</f>
        <v>0</v>
      </c>
      <c r="K75" s="137" t="n">
        <f aca="false">ROUND(G75*H75,2)</f>
        <v>0</v>
      </c>
      <c r="L75" s="137" t="n">
        <f aca="false">'Stavební rozpočet'!L146</f>
        <v>0</v>
      </c>
      <c r="M75" s="137" t="n">
        <f aca="false">G75*L75</f>
        <v>0</v>
      </c>
      <c r="N75" s="138" t="s">
        <v>155</v>
      </c>
      <c r="Z75" s="88" t="n">
        <f aca="false">ROUND(IF(AQ75="5",BJ75,0),2)</f>
        <v>0</v>
      </c>
      <c r="AB75" s="88" t="n">
        <f aca="false">ROUND(IF(AQ75="1",BH75,0),2)</f>
        <v>0</v>
      </c>
      <c r="AC75" s="88" t="n">
        <f aca="false">ROUND(IF(AQ75="1",BI75,0),2)</f>
        <v>0</v>
      </c>
      <c r="AD75" s="88" t="n">
        <f aca="false">ROUND(IF(AQ75="7",BH75,0),2)</f>
        <v>0</v>
      </c>
      <c r="AE75" s="88" t="n">
        <f aca="false">ROUND(IF(AQ75="7",BI75,0),2)</f>
        <v>0</v>
      </c>
      <c r="AF75" s="88" t="n">
        <f aca="false">ROUND(IF(AQ75="2",BH75,0),2)</f>
        <v>0</v>
      </c>
      <c r="AG75" s="88" t="n">
        <f aca="false">ROUND(IF(AQ75="2",BI75,0),2)</f>
        <v>0</v>
      </c>
      <c r="AH75" s="88" t="n">
        <f aca="false">ROUND(IF(AQ75="0",BJ75,0),2)</f>
        <v>0</v>
      </c>
      <c r="AI75" s="116" t="s">
        <v>109</v>
      </c>
      <c r="AJ75" s="88" t="n">
        <f aca="false">IF(AN75=0,K75,0)</f>
        <v>0</v>
      </c>
      <c r="AK75" s="88" t="n">
        <f aca="false">IF(AN75=12,K75,0)</f>
        <v>0</v>
      </c>
      <c r="AL75" s="88" t="n">
        <f aca="false">IF(AN75=21,K75,0)</f>
        <v>0</v>
      </c>
      <c r="AN75" s="88" t="n">
        <v>21</v>
      </c>
      <c r="AO75" s="88" t="n">
        <f aca="false">H75*0.292837481</f>
        <v>0</v>
      </c>
      <c r="AP75" s="88" t="n">
        <f aca="false">H75*(1-0.292837481)</f>
        <v>0</v>
      </c>
      <c r="AQ75" s="87" t="s">
        <v>151</v>
      </c>
      <c r="AV75" s="88" t="n">
        <f aca="false">ROUND(AW75+AX75,2)</f>
        <v>0</v>
      </c>
      <c r="AW75" s="88" t="n">
        <f aca="false">ROUND(G75*AO75,2)</f>
        <v>0</v>
      </c>
      <c r="AX75" s="88" t="n">
        <f aca="false">ROUND(G75*AP75,2)</f>
        <v>0</v>
      </c>
      <c r="AY75" s="87" t="s">
        <v>530</v>
      </c>
      <c r="AZ75" s="87" t="s">
        <v>367</v>
      </c>
      <c r="BA75" s="116" t="s">
        <v>368</v>
      </c>
      <c r="BC75" s="88" t="n">
        <f aca="false">AW75+AX75</f>
        <v>0</v>
      </c>
      <c r="BD75" s="88" t="n">
        <f aca="false">H75/(100-BE75)*100</f>
        <v>0</v>
      </c>
      <c r="BE75" s="88" t="n">
        <v>0</v>
      </c>
      <c r="BF75" s="88" t="n">
        <f aca="false">M75</f>
        <v>0</v>
      </c>
      <c r="BH75" s="88" t="n">
        <f aca="false">G75*AO75</f>
        <v>0</v>
      </c>
      <c r="BI75" s="88" t="n">
        <f aca="false">G75*AP75</f>
        <v>0</v>
      </c>
      <c r="BJ75" s="88" t="n">
        <f aca="false">G75*H75</f>
        <v>0</v>
      </c>
      <c r="BK75" s="87" t="s">
        <v>159</v>
      </c>
      <c r="BL75" s="88"/>
      <c r="BW75" s="88" t="n">
        <v>21</v>
      </c>
      <c r="BX75" s="9" t="s">
        <v>532</v>
      </c>
    </row>
    <row r="76" customFormat="false" ht="15" hidden="false" customHeight="true" outlineLevel="0" collapsed="false">
      <c r="A76" s="134" t="s">
        <v>364</v>
      </c>
      <c r="B76" s="134" t="s">
        <v>109</v>
      </c>
      <c r="C76" s="134" t="s">
        <v>413</v>
      </c>
      <c r="D76" s="135" t="s">
        <v>534</v>
      </c>
      <c r="E76" s="135"/>
      <c r="F76" s="134" t="s">
        <v>189</v>
      </c>
      <c r="G76" s="136" t="n">
        <f aca="false">'Stavební rozpočet'!G147</f>
        <v>6.898</v>
      </c>
      <c r="H76" s="137" t="n">
        <f aca="false">'Stavební rozpočet'!H147</f>
        <v>0</v>
      </c>
      <c r="I76" s="137" t="n">
        <f aca="false">ROUND(G76*AO76,2)</f>
        <v>0</v>
      </c>
      <c r="J76" s="137" t="n">
        <f aca="false">ROUND(G76*AP76,2)</f>
        <v>0</v>
      </c>
      <c r="K76" s="137" t="n">
        <f aca="false">ROUND(G76*H76,2)</f>
        <v>0</v>
      </c>
      <c r="L76" s="137" t="n">
        <f aca="false">'Stavební rozpočet'!L147</f>
        <v>0</v>
      </c>
      <c r="M76" s="137" t="n">
        <f aca="false">G76*L76</f>
        <v>0</v>
      </c>
      <c r="N76" s="138" t="s">
        <v>155</v>
      </c>
      <c r="Z76" s="88" t="n">
        <f aca="false">ROUND(IF(AQ76="5",BJ76,0),2)</f>
        <v>0</v>
      </c>
      <c r="AB76" s="88" t="n">
        <f aca="false">ROUND(IF(AQ76="1",BH76,0),2)</f>
        <v>0</v>
      </c>
      <c r="AC76" s="88" t="n">
        <f aca="false">ROUND(IF(AQ76="1",BI76,0),2)</f>
        <v>0</v>
      </c>
      <c r="AD76" s="88" t="n">
        <f aca="false">ROUND(IF(AQ76="7",BH76,0),2)</f>
        <v>0</v>
      </c>
      <c r="AE76" s="88" t="n">
        <f aca="false">ROUND(IF(AQ76="7",BI76,0),2)</f>
        <v>0</v>
      </c>
      <c r="AF76" s="88" t="n">
        <f aca="false">ROUND(IF(AQ76="2",BH76,0),2)</f>
        <v>0</v>
      </c>
      <c r="AG76" s="88" t="n">
        <f aca="false">ROUND(IF(AQ76="2",BI76,0),2)</f>
        <v>0</v>
      </c>
      <c r="AH76" s="88" t="n">
        <f aca="false">ROUND(IF(AQ76="0",BJ76,0),2)</f>
        <v>0</v>
      </c>
      <c r="AI76" s="116" t="s">
        <v>109</v>
      </c>
      <c r="AJ76" s="88" t="n">
        <f aca="false">IF(AN76=0,K76,0)</f>
        <v>0</v>
      </c>
      <c r="AK76" s="88" t="n">
        <f aca="false">IF(AN76=12,K76,0)</f>
        <v>0</v>
      </c>
      <c r="AL76" s="88" t="n">
        <f aca="false">IF(AN76=21,K76,0)</f>
        <v>0</v>
      </c>
      <c r="AN76" s="88" t="n">
        <v>21</v>
      </c>
      <c r="AO76" s="88" t="n">
        <f aca="false">H76*0</f>
        <v>0</v>
      </c>
      <c r="AP76" s="88" t="n">
        <f aca="false">H76*(1-0)</f>
        <v>0</v>
      </c>
      <c r="AQ76" s="87" t="s">
        <v>151</v>
      </c>
      <c r="AV76" s="88" t="n">
        <f aca="false">ROUND(AW76+AX76,2)</f>
        <v>0</v>
      </c>
      <c r="AW76" s="88" t="n">
        <f aca="false">ROUND(G76*AO76,2)</f>
        <v>0</v>
      </c>
      <c r="AX76" s="88" t="n">
        <f aca="false">ROUND(G76*AP76,2)</f>
        <v>0</v>
      </c>
      <c r="AY76" s="87" t="s">
        <v>530</v>
      </c>
      <c r="AZ76" s="87" t="s">
        <v>367</v>
      </c>
      <c r="BA76" s="116" t="s">
        <v>368</v>
      </c>
      <c r="BC76" s="88" t="n">
        <f aca="false">AW76+AX76</f>
        <v>0</v>
      </c>
      <c r="BD76" s="88" t="n">
        <f aca="false">H76/(100-BE76)*100</f>
        <v>0</v>
      </c>
      <c r="BE76" s="88" t="n">
        <v>0</v>
      </c>
      <c r="BF76" s="88" t="n">
        <f aca="false">M76</f>
        <v>0</v>
      </c>
      <c r="BH76" s="88" t="n">
        <f aca="false">G76*AO76</f>
        <v>0</v>
      </c>
      <c r="BI76" s="88" t="n">
        <f aca="false">G76*AP76</f>
        <v>0</v>
      </c>
      <c r="BJ76" s="88" t="n">
        <f aca="false">G76*H76</f>
        <v>0</v>
      </c>
      <c r="BK76" s="87" t="s">
        <v>159</v>
      </c>
      <c r="BL76" s="88"/>
      <c r="BW76" s="88" t="n">
        <v>21</v>
      </c>
      <c r="BX76" s="9" t="s">
        <v>534</v>
      </c>
    </row>
    <row r="77" customFormat="false" ht="24.05" hidden="false" customHeight="true" outlineLevel="0" collapsed="false">
      <c r="A77" s="134" t="s">
        <v>369</v>
      </c>
      <c r="B77" s="134" t="s">
        <v>109</v>
      </c>
      <c r="C77" s="134" t="s">
        <v>536</v>
      </c>
      <c r="D77" s="135" t="s">
        <v>537</v>
      </c>
      <c r="E77" s="135"/>
      <c r="F77" s="134" t="s">
        <v>169</v>
      </c>
      <c r="G77" s="136" t="n">
        <f aca="false">'Stavební rozpočet'!G148</f>
        <v>67.4</v>
      </c>
      <c r="H77" s="137" t="n">
        <f aca="false">'Stavební rozpočet'!H148</f>
        <v>0</v>
      </c>
      <c r="I77" s="137" t="n">
        <f aca="false">ROUND(G77*AO77,2)</f>
        <v>0</v>
      </c>
      <c r="J77" s="137" t="n">
        <f aca="false">ROUND(G77*AP77,2)</f>
        <v>0</v>
      </c>
      <c r="K77" s="137" t="n">
        <f aca="false">ROUND(G77*H77,2)</f>
        <v>0</v>
      </c>
      <c r="L77" s="137" t="n">
        <f aca="false">'Stavební rozpočet'!L148</f>
        <v>0</v>
      </c>
      <c r="M77" s="137" t="n">
        <f aca="false">G77*L77</f>
        <v>0</v>
      </c>
      <c r="N77" s="138" t="s">
        <v>155</v>
      </c>
      <c r="Z77" s="88" t="n">
        <f aca="false">ROUND(IF(AQ77="5",BJ77,0),2)</f>
        <v>0</v>
      </c>
      <c r="AB77" s="88" t="n">
        <f aca="false">ROUND(IF(AQ77="1",BH77,0),2)</f>
        <v>0</v>
      </c>
      <c r="AC77" s="88" t="n">
        <f aca="false">ROUND(IF(AQ77="1",BI77,0),2)</f>
        <v>0</v>
      </c>
      <c r="AD77" s="88" t="n">
        <f aca="false">ROUND(IF(AQ77="7",BH77,0),2)</f>
        <v>0</v>
      </c>
      <c r="AE77" s="88" t="n">
        <f aca="false">ROUND(IF(AQ77="7",BI77,0),2)</f>
        <v>0</v>
      </c>
      <c r="AF77" s="88" t="n">
        <f aca="false">ROUND(IF(AQ77="2",BH77,0),2)</f>
        <v>0</v>
      </c>
      <c r="AG77" s="88" t="n">
        <f aca="false">ROUND(IF(AQ77="2",BI77,0),2)</f>
        <v>0</v>
      </c>
      <c r="AH77" s="88" t="n">
        <f aca="false">ROUND(IF(AQ77="0",BJ77,0),2)</f>
        <v>0</v>
      </c>
      <c r="AI77" s="116" t="s">
        <v>109</v>
      </c>
      <c r="AJ77" s="88" t="n">
        <f aca="false">IF(AN77=0,K77,0)</f>
        <v>0</v>
      </c>
      <c r="AK77" s="88" t="n">
        <f aca="false">IF(AN77=12,K77,0)</f>
        <v>0</v>
      </c>
      <c r="AL77" s="88" t="n">
        <f aca="false">IF(AN77=21,K77,0)</f>
        <v>0</v>
      </c>
      <c r="AN77" s="88" t="n">
        <v>21</v>
      </c>
      <c r="AO77" s="88" t="n">
        <f aca="false">H77*0</f>
        <v>0</v>
      </c>
      <c r="AP77" s="88" t="n">
        <f aca="false">H77*(1-0)</f>
        <v>0</v>
      </c>
      <c r="AQ77" s="87" t="s">
        <v>151</v>
      </c>
      <c r="AV77" s="88" t="n">
        <f aca="false">ROUND(AW77+AX77,2)</f>
        <v>0</v>
      </c>
      <c r="AW77" s="88" t="n">
        <f aca="false">ROUND(G77*AO77,2)</f>
        <v>0</v>
      </c>
      <c r="AX77" s="88" t="n">
        <f aca="false">ROUND(G77*AP77,2)</f>
        <v>0</v>
      </c>
      <c r="AY77" s="87" t="s">
        <v>530</v>
      </c>
      <c r="AZ77" s="87" t="s">
        <v>367</v>
      </c>
      <c r="BA77" s="116" t="s">
        <v>368</v>
      </c>
      <c r="BC77" s="88" t="n">
        <f aca="false">AW77+AX77</f>
        <v>0</v>
      </c>
      <c r="BD77" s="88" t="n">
        <f aca="false">H77/(100-BE77)*100</f>
        <v>0</v>
      </c>
      <c r="BE77" s="88" t="n">
        <v>0</v>
      </c>
      <c r="BF77" s="88" t="n">
        <f aca="false">M77</f>
        <v>0</v>
      </c>
      <c r="BH77" s="88" t="n">
        <f aca="false">G77*AO77</f>
        <v>0</v>
      </c>
      <c r="BI77" s="88" t="n">
        <f aca="false">G77*AP77</f>
        <v>0</v>
      </c>
      <c r="BJ77" s="88" t="n">
        <f aca="false">G77*H77</f>
        <v>0</v>
      </c>
      <c r="BK77" s="87" t="s">
        <v>159</v>
      </c>
      <c r="BL77" s="88"/>
      <c r="BW77" s="88" t="n">
        <v>21</v>
      </c>
      <c r="BX77" s="9" t="s">
        <v>537</v>
      </c>
    </row>
    <row r="78" customFormat="false" ht="15" hidden="false" customHeight="true" outlineLevel="0" collapsed="false">
      <c r="A78" s="134" t="s">
        <v>373</v>
      </c>
      <c r="B78" s="134" t="s">
        <v>109</v>
      </c>
      <c r="C78" s="134" t="s">
        <v>539</v>
      </c>
      <c r="D78" s="135" t="s">
        <v>540</v>
      </c>
      <c r="E78" s="135"/>
      <c r="F78" s="134" t="s">
        <v>169</v>
      </c>
      <c r="G78" s="136" t="n">
        <f aca="false">'Stavební rozpočet'!G149</f>
        <v>67.4</v>
      </c>
      <c r="H78" s="137" t="n">
        <f aca="false">'Stavební rozpočet'!H149</f>
        <v>0</v>
      </c>
      <c r="I78" s="137" t="n">
        <f aca="false">ROUND(G78*AO78,2)</f>
        <v>0</v>
      </c>
      <c r="J78" s="137" t="n">
        <f aca="false">ROUND(G78*AP78,2)</f>
        <v>0</v>
      </c>
      <c r="K78" s="137" t="n">
        <f aca="false">ROUND(G78*H78,2)</f>
        <v>0</v>
      </c>
      <c r="L78" s="137" t="n">
        <f aca="false">'Stavební rozpočet'!L149</f>
        <v>0</v>
      </c>
      <c r="M78" s="137" t="n">
        <f aca="false">G78*L78</f>
        <v>0</v>
      </c>
      <c r="N78" s="138" t="s">
        <v>155</v>
      </c>
      <c r="Z78" s="88" t="n">
        <f aca="false">ROUND(IF(AQ78="5",BJ78,0),2)</f>
        <v>0</v>
      </c>
      <c r="AB78" s="88" t="n">
        <f aca="false">ROUND(IF(AQ78="1",BH78,0),2)</f>
        <v>0</v>
      </c>
      <c r="AC78" s="88" t="n">
        <f aca="false">ROUND(IF(AQ78="1",BI78,0),2)</f>
        <v>0</v>
      </c>
      <c r="AD78" s="88" t="n">
        <f aca="false">ROUND(IF(AQ78="7",BH78,0),2)</f>
        <v>0</v>
      </c>
      <c r="AE78" s="88" t="n">
        <f aca="false">ROUND(IF(AQ78="7",BI78,0),2)</f>
        <v>0</v>
      </c>
      <c r="AF78" s="88" t="n">
        <f aca="false">ROUND(IF(AQ78="2",BH78,0),2)</f>
        <v>0</v>
      </c>
      <c r="AG78" s="88" t="n">
        <f aca="false">ROUND(IF(AQ78="2",BI78,0),2)</f>
        <v>0</v>
      </c>
      <c r="AH78" s="88" t="n">
        <f aca="false">ROUND(IF(AQ78="0",BJ78,0),2)</f>
        <v>0</v>
      </c>
      <c r="AI78" s="116" t="s">
        <v>109</v>
      </c>
      <c r="AJ78" s="88" t="n">
        <f aca="false">IF(AN78=0,K78,0)</f>
        <v>0</v>
      </c>
      <c r="AK78" s="88" t="n">
        <f aca="false">IF(AN78=12,K78,0)</f>
        <v>0</v>
      </c>
      <c r="AL78" s="88" t="n">
        <f aca="false">IF(AN78=21,K78,0)</f>
        <v>0</v>
      </c>
      <c r="AN78" s="88" t="n">
        <v>21</v>
      </c>
      <c r="AO78" s="88" t="n">
        <f aca="false">H78*0</f>
        <v>0</v>
      </c>
      <c r="AP78" s="88" t="n">
        <f aca="false">H78*(1-0)</f>
        <v>0</v>
      </c>
      <c r="AQ78" s="87" t="s">
        <v>151</v>
      </c>
      <c r="AV78" s="88" t="n">
        <f aca="false">ROUND(AW78+AX78,2)</f>
        <v>0</v>
      </c>
      <c r="AW78" s="88" t="n">
        <f aca="false">ROUND(G78*AO78,2)</f>
        <v>0</v>
      </c>
      <c r="AX78" s="88" t="n">
        <f aca="false">ROUND(G78*AP78,2)</f>
        <v>0</v>
      </c>
      <c r="AY78" s="87" t="s">
        <v>530</v>
      </c>
      <c r="AZ78" s="87" t="s">
        <v>367</v>
      </c>
      <c r="BA78" s="116" t="s">
        <v>368</v>
      </c>
      <c r="BC78" s="88" t="n">
        <f aca="false">AW78+AX78</f>
        <v>0</v>
      </c>
      <c r="BD78" s="88" t="n">
        <f aca="false">H78/(100-BE78)*100</f>
        <v>0</v>
      </c>
      <c r="BE78" s="88" t="n">
        <v>0</v>
      </c>
      <c r="BF78" s="88" t="n">
        <f aca="false">M78</f>
        <v>0</v>
      </c>
      <c r="BH78" s="88" t="n">
        <f aca="false">G78*AO78</f>
        <v>0</v>
      </c>
      <c r="BI78" s="88" t="n">
        <f aca="false">G78*AP78</f>
        <v>0</v>
      </c>
      <c r="BJ78" s="88" t="n">
        <f aca="false">G78*H78</f>
        <v>0</v>
      </c>
      <c r="BK78" s="87" t="s">
        <v>159</v>
      </c>
      <c r="BL78" s="88"/>
      <c r="BW78" s="88" t="n">
        <v>21</v>
      </c>
      <c r="BX78" s="9" t="s">
        <v>540</v>
      </c>
    </row>
    <row r="79" customFormat="false" ht="24.05" hidden="false" customHeight="true" outlineLevel="0" collapsed="false">
      <c r="A79" s="134" t="s">
        <v>376</v>
      </c>
      <c r="B79" s="134" t="s">
        <v>109</v>
      </c>
      <c r="C79" s="134" t="s">
        <v>542</v>
      </c>
      <c r="D79" s="135" t="s">
        <v>543</v>
      </c>
      <c r="E79" s="135"/>
      <c r="F79" s="134" t="s">
        <v>169</v>
      </c>
      <c r="G79" s="136" t="n">
        <f aca="false">'Stavební rozpočet'!G150</f>
        <v>67.4</v>
      </c>
      <c r="H79" s="137" t="n">
        <f aca="false">'Stavební rozpočet'!H150</f>
        <v>0</v>
      </c>
      <c r="I79" s="137" t="n">
        <f aca="false">ROUND(G79*AO79,2)</f>
        <v>0</v>
      </c>
      <c r="J79" s="137" t="n">
        <f aca="false">ROUND(G79*AP79,2)</f>
        <v>0</v>
      </c>
      <c r="K79" s="137" t="n">
        <f aca="false">ROUND(G79*H79,2)</f>
        <v>0</v>
      </c>
      <c r="L79" s="137" t="n">
        <f aca="false">'Stavební rozpočet'!L150</f>
        <v>0</v>
      </c>
      <c r="M79" s="137" t="n">
        <f aca="false">G79*L79</f>
        <v>0</v>
      </c>
      <c r="N79" s="138" t="s">
        <v>155</v>
      </c>
      <c r="Z79" s="88" t="n">
        <f aca="false">ROUND(IF(AQ79="5",BJ79,0),2)</f>
        <v>0</v>
      </c>
      <c r="AB79" s="88" t="n">
        <f aca="false">ROUND(IF(AQ79="1",BH79,0),2)</f>
        <v>0</v>
      </c>
      <c r="AC79" s="88" t="n">
        <f aca="false">ROUND(IF(AQ79="1",BI79,0),2)</f>
        <v>0</v>
      </c>
      <c r="AD79" s="88" t="n">
        <f aca="false">ROUND(IF(AQ79="7",BH79,0),2)</f>
        <v>0</v>
      </c>
      <c r="AE79" s="88" t="n">
        <f aca="false">ROUND(IF(AQ79="7",BI79,0),2)</f>
        <v>0</v>
      </c>
      <c r="AF79" s="88" t="n">
        <f aca="false">ROUND(IF(AQ79="2",BH79,0),2)</f>
        <v>0</v>
      </c>
      <c r="AG79" s="88" t="n">
        <f aca="false">ROUND(IF(AQ79="2",BI79,0),2)</f>
        <v>0</v>
      </c>
      <c r="AH79" s="88" t="n">
        <f aca="false">ROUND(IF(AQ79="0",BJ79,0),2)</f>
        <v>0</v>
      </c>
      <c r="AI79" s="116" t="s">
        <v>109</v>
      </c>
      <c r="AJ79" s="88" t="n">
        <f aca="false">IF(AN79=0,K79,0)</f>
        <v>0</v>
      </c>
      <c r="AK79" s="88" t="n">
        <f aca="false">IF(AN79=12,K79,0)</f>
        <v>0</v>
      </c>
      <c r="AL79" s="88" t="n">
        <f aca="false">IF(AN79=21,K79,0)</f>
        <v>0</v>
      </c>
      <c r="AN79" s="88" t="n">
        <v>21</v>
      </c>
      <c r="AO79" s="88" t="n">
        <f aca="false">H79*0</f>
        <v>0</v>
      </c>
      <c r="AP79" s="88" t="n">
        <f aca="false">H79*(1-0)</f>
        <v>0</v>
      </c>
      <c r="AQ79" s="87" t="s">
        <v>151</v>
      </c>
      <c r="AV79" s="88" t="n">
        <f aca="false">ROUND(AW79+AX79,2)</f>
        <v>0</v>
      </c>
      <c r="AW79" s="88" t="n">
        <f aca="false">ROUND(G79*AO79,2)</f>
        <v>0</v>
      </c>
      <c r="AX79" s="88" t="n">
        <f aca="false">ROUND(G79*AP79,2)</f>
        <v>0</v>
      </c>
      <c r="AY79" s="87" t="s">
        <v>530</v>
      </c>
      <c r="AZ79" s="87" t="s">
        <v>367</v>
      </c>
      <c r="BA79" s="116" t="s">
        <v>368</v>
      </c>
      <c r="BC79" s="88" t="n">
        <f aca="false">AW79+AX79</f>
        <v>0</v>
      </c>
      <c r="BD79" s="88" t="n">
        <f aca="false">H79/(100-BE79)*100</f>
        <v>0</v>
      </c>
      <c r="BE79" s="88" t="n">
        <v>0</v>
      </c>
      <c r="BF79" s="88" t="n">
        <f aca="false">M79</f>
        <v>0</v>
      </c>
      <c r="BH79" s="88" t="n">
        <f aca="false">G79*AO79</f>
        <v>0</v>
      </c>
      <c r="BI79" s="88" t="n">
        <f aca="false">G79*AP79</f>
        <v>0</v>
      </c>
      <c r="BJ79" s="88" t="n">
        <f aca="false">G79*H79</f>
        <v>0</v>
      </c>
      <c r="BK79" s="87" t="s">
        <v>159</v>
      </c>
      <c r="BL79" s="88"/>
      <c r="BW79" s="88" t="n">
        <v>21</v>
      </c>
      <c r="BX79" s="9" t="s">
        <v>543</v>
      </c>
    </row>
    <row r="80" customFormat="false" ht="24.05" hidden="false" customHeight="true" outlineLevel="0" collapsed="false">
      <c r="A80" s="134" t="s">
        <v>379</v>
      </c>
      <c r="B80" s="134" t="s">
        <v>109</v>
      </c>
      <c r="C80" s="134" t="s">
        <v>545</v>
      </c>
      <c r="D80" s="135" t="s">
        <v>546</v>
      </c>
      <c r="E80" s="135"/>
      <c r="F80" s="134" t="s">
        <v>547</v>
      </c>
      <c r="G80" s="136" t="n">
        <f aca="false">'Stavební rozpočet'!G151</f>
        <v>0.005</v>
      </c>
      <c r="H80" s="137" t="n">
        <f aca="false">'Stavební rozpočet'!H151</f>
        <v>0</v>
      </c>
      <c r="I80" s="137" t="n">
        <f aca="false">ROUND(G80*AO80,2)</f>
        <v>0</v>
      </c>
      <c r="J80" s="137" t="n">
        <f aca="false">ROUND(G80*AP80,2)</f>
        <v>0</v>
      </c>
      <c r="K80" s="137" t="n">
        <f aca="false">ROUND(G80*H80,2)</f>
        <v>0</v>
      </c>
      <c r="L80" s="137" t="n">
        <f aca="false">'Stavební rozpočet'!L151</f>
        <v>0</v>
      </c>
      <c r="M80" s="137" t="n">
        <f aca="false">G80*L80</f>
        <v>0</v>
      </c>
      <c r="N80" s="138" t="s">
        <v>155</v>
      </c>
      <c r="Z80" s="88" t="n">
        <f aca="false">ROUND(IF(AQ80="5",BJ80,0),2)</f>
        <v>0</v>
      </c>
      <c r="AB80" s="88" t="n">
        <f aca="false">ROUND(IF(AQ80="1",BH80,0),2)</f>
        <v>0</v>
      </c>
      <c r="AC80" s="88" t="n">
        <f aca="false">ROUND(IF(AQ80="1",BI80,0),2)</f>
        <v>0</v>
      </c>
      <c r="AD80" s="88" t="n">
        <f aca="false">ROUND(IF(AQ80="7",BH80,0),2)</f>
        <v>0</v>
      </c>
      <c r="AE80" s="88" t="n">
        <f aca="false">ROUND(IF(AQ80="7",BI80,0),2)</f>
        <v>0</v>
      </c>
      <c r="AF80" s="88" t="n">
        <f aca="false">ROUND(IF(AQ80="2",BH80,0),2)</f>
        <v>0</v>
      </c>
      <c r="AG80" s="88" t="n">
        <f aca="false">ROUND(IF(AQ80="2",BI80,0),2)</f>
        <v>0</v>
      </c>
      <c r="AH80" s="88" t="n">
        <f aca="false">ROUND(IF(AQ80="0",BJ80,0),2)</f>
        <v>0</v>
      </c>
      <c r="AI80" s="116" t="s">
        <v>109</v>
      </c>
      <c r="AJ80" s="88" t="n">
        <f aca="false">IF(AN80=0,K80,0)</f>
        <v>0</v>
      </c>
      <c r="AK80" s="88" t="n">
        <f aca="false">IF(AN80=12,K80,0)</f>
        <v>0</v>
      </c>
      <c r="AL80" s="88" t="n">
        <f aca="false">IF(AN80=21,K80,0)</f>
        <v>0</v>
      </c>
      <c r="AN80" s="88" t="n">
        <v>21</v>
      </c>
      <c r="AO80" s="88" t="n">
        <f aca="false">H80*0</f>
        <v>0</v>
      </c>
      <c r="AP80" s="88" t="n">
        <f aca="false">H80*(1-0)</f>
        <v>0</v>
      </c>
      <c r="AQ80" s="87" t="s">
        <v>151</v>
      </c>
      <c r="AV80" s="88" t="n">
        <f aca="false">ROUND(AW80+AX80,2)</f>
        <v>0</v>
      </c>
      <c r="AW80" s="88" t="n">
        <f aca="false">ROUND(G80*AO80,2)</f>
        <v>0</v>
      </c>
      <c r="AX80" s="88" t="n">
        <f aca="false">ROUND(G80*AP80,2)</f>
        <v>0</v>
      </c>
      <c r="AY80" s="87" t="s">
        <v>530</v>
      </c>
      <c r="AZ80" s="87" t="s">
        <v>367</v>
      </c>
      <c r="BA80" s="116" t="s">
        <v>368</v>
      </c>
      <c r="BC80" s="88" t="n">
        <f aca="false">AW80+AX80</f>
        <v>0</v>
      </c>
      <c r="BD80" s="88" t="n">
        <f aca="false">H80/(100-BE80)*100</f>
        <v>0</v>
      </c>
      <c r="BE80" s="88" t="n">
        <v>0</v>
      </c>
      <c r="BF80" s="88" t="n">
        <f aca="false">M80</f>
        <v>0</v>
      </c>
      <c r="BH80" s="88" t="n">
        <f aca="false">G80*AO80</f>
        <v>0</v>
      </c>
      <c r="BI80" s="88" t="n">
        <f aca="false">G80*AP80</f>
        <v>0</v>
      </c>
      <c r="BJ80" s="88" t="n">
        <f aca="false">G80*H80</f>
        <v>0</v>
      </c>
      <c r="BK80" s="87" t="s">
        <v>159</v>
      </c>
      <c r="BL80" s="88"/>
      <c r="BW80" s="88" t="n">
        <v>21</v>
      </c>
      <c r="BX80" s="9" t="s">
        <v>546</v>
      </c>
    </row>
    <row r="81" customFormat="false" ht="19.85" hidden="false" customHeight="true" outlineLevel="0" collapsed="false">
      <c r="I81" s="101" t="s">
        <v>114</v>
      </c>
      <c r="J81" s="101"/>
      <c r="K81" s="167" t="n">
        <f aca="false">ROUND(SUM(K13,K20,K73),1)</f>
        <v>0</v>
      </c>
    </row>
    <row r="82" customFormat="false" ht="15" hidden="false" customHeight="false" outlineLevel="0" collapsed="false">
      <c r="A82" s="1"/>
    </row>
    <row r="83" customFormat="false" ht="15" hidden="true" customHeight="false" outlineLevel="0" collapsed="false">
      <c r="A83" s="9"/>
      <c r="B83" s="9"/>
      <c r="C83" s="9"/>
      <c r="D83" s="9"/>
      <c r="E83" s="9"/>
      <c r="F83" s="9"/>
      <c r="G83" s="9"/>
      <c r="H83" s="9"/>
      <c r="I83" s="9"/>
      <c r="J83" s="9"/>
      <c r="K83" s="9"/>
      <c r="L83" s="9"/>
      <c r="M83" s="9"/>
      <c r="N83" s="9"/>
    </row>
  </sheetData>
  <mergeCells count="100">
    <mergeCell ref="A1:N1"/>
    <mergeCell ref="A2:B3"/>
    <mergeCell ref="C2:D3"/>
    <mergeCell ref="E2:E3"/>
    <mergeCell ref="F2:G3"/>
    <mergeCell ref="H2:H3"/>
    <mergeCell ref="I2:N3"/>
    <mergeCell ref="A4:B5"/>
    <mergeCell ref="C4:D5"/>
    <mergeCell ref="E4:E5"/>
    <mergeCell ref="F4:G5"/>
    <mergeCell ref="H4:H5"/>
    <mergeCell ref="I4:N5"/>
    <mergeCell ref="A6:B7"/>
    <mergeCell ref="C6:D7"/>
    <mergeCell ref="E6:E7"/>
    <mergeCell ref="F6:G7"/>
    <mergeCell ref="H6:H7"/>
    <mergeCell ref="I6:N7"/>
    <mergeCell ref="A8:B9"/>
    <mergeCell ref="C8:D9"/>
    <mergeCell ref="E8:E9"/>
    <mergeCell ref="F8:G9"/>
    <mergeCell ref="H8:H9"/>
    <mergeCell ref="I8:N9"/>
    <mergeCell ref="D10:E10"/>
    <mergeCell ref="I10:K10"/>
    <mergeCell ref="L10:M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D59:E59"/>
    <mergeCell ref="D60:E60"/>
    <mergeCell ref="D61:E61"/>
    <mergeCell ref="D62:E62"/>
    <mergeCell ref="D63:E63"/>
    <mergeCell ref="D64:E64"/>
    <mergeCell ref="D65:E65"/>
    <mergeCell ref="D66:E66"/>
    <mergeCell ref="D67:E67"/>
    <mergeCell ref="D68:E68"/>
    <mergeCell ref="D69:E69"/>
    <mergeCell ref="D70:E70"/>
    <mergeCell ref="D71:E71"/>
    <mergeCell ref="D72:E72"/>
    <mergeCell ref="D73:E73"/>
    <mergeCell ref="D74:E74"/>
    <mergeCell ref="D75:E75"/>
    <mergeCell ref="D76:E76"/>
    <mergeCell ref="D77:E77"/>
    <mergeCell ref="D78:E78"/>
    <mergeCell ref="D79:E79"/>
    <mergeCell ref="D80:E80"/>
    <mergeCell ref="I81:J81"/>
    <mergeCell ref="A83:N83"/>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558B2F"/>
    <pageSetUpPr fitToPage="true"/>
  </sheetPr>
  <dimension ref="A1:H15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1484375" defaultRowHeight="15" customHeight="true" zeroHeight="false" outlineLevelRow="0" outlineLevelCol="0"/>
  <cols>
    <col collapsed="false" customWidth="true" hidden="false" outlineLevel="0" max="2" min="1" style="22" width="9.14"/>
    <col collapsed="false" customWidth="true" hidden="false" outlineLevel="0" max="3" min="3" style="22" width="14.29"/>
    <col collapsed="false" customWidth="true" hidden="false" outlineLevel="0" max="4" min="4" style="103" width="42.86"/>
    <col collapsed="false" customWidth="true" hidden="false" outlineLevel="0" max="5" min="5" style="22" width="45.22"/>
    <col collapsed="false" customWidth="true" hidden="false" outlineLevel="0" max="6" min="6" style="22" width="24.14"/>
    <col collapsed="false" customWidth="true" hidden="false" outlineLevel="0" max="7" min="7" style="22" width="15.71"/>
    <col collapsed="false" customWidth="true" hidden="false" outlineLevel="0" max="8" min="8" style="22" width="20"/>
  </cols>
  <sheetData>
    <row r="1" customFormat="false" ht="39.7" hidden="false" customHeight="true" outlineLevel="0" collapsed="false">
      <c r="A1" s="106" t="s">
        <v>788</v>
      </c>
      <c r="B1" s="106"/>
      <c r="C1" s="106"/>
      <c r="D1" s="106"/>
      <c r="E1" s="106"/>
      <c r="F1" s="106"/>
      <c r="G1" s="106"/>
      <c r="H1" s="106"/>
    </row>
    <row r="2" customFormat="false" ht="15" hidden="false" customHeight="true" outlineLevel="0" collapsed="false">
      <c r="A2" s="3" t="s">
        <v>1</v>
      </c>
      <c r="B2" s="3"/>
      <c r="C2" s="4" t="str">
        <f aca="false">'Stavební rozpočet'!C2</f>
        <v>Přeměna sídlištních ploch – II. Etapa _ Fontána Jablko</v>
      </c>
      <c r="D2" s="4"/>
      <c r="E2" s="5" t="s">
        <v>2</v>
      </c>
      <c r="F2" s="73" t="str">
        <f aca="false">'Stavební rozpočet'!I2</f>
        <v>Městská část Praha 12, Generála Šišky 2375/6, 143</v>
      </c>
      <c r="G2" s="73"/>
      <c r="H2" s="73"/>
    </row>
    <row r="3" customFormat="false" ht="15" hidden="false" customHeight="false" outlineLevel="0" collapsed="false">
      <c r="A3" s="3"/>
      <c r="B3" s="3"/>
      <c r="C3" s="4"/>
      <c r="D3" s="4"/>
      <c r="E3" s="5"/>
      <c r="F3" s="5"/>
      <c r="G3" s="73"/>
      <c r="H3" s="73"/>
    </row>
    <row r="4" customFormat="false" ht="15" hidden="false" customHeight="true" outlineLevel="0" collapsed="false">
      <c r="A4" s="8" t="s">
        <v>5</v>
      </c>
      <c r="B4" s="8"/>
      <c r="C4" s="9" t="str">
        <f aca="false">'Stavební rozpočet'!C4</f>
        <v>Stavební úpravy veřejného prostranství _Fontána Jablko</v>
      </c>
      <c r="D4" s="9"/>
      <c r="E4" s="9" t="s">
        <v>6</v>
      </c>
      <c r="F4" s="74" t="str">
        <f aca="false">'Stavební rozpočet'!I4</f>
        <v>HUA HUA ARCHITECTS s.r.o., Porážka 459/2, 602 00 Brno</v>
      </c>
      <c r="G4" s="74"/>
      <c r="H4" s="74"/>
    </row>
    <row r="5" customFormat="false" ht="15" hidden="false" customHeight="false" outlineLevel="0" collapsed="false">
      <c r="A5" s="8"/>
      <c r="B5" s="8"/>
      <c r="C5" s="9"/>
      <c r="D5" s="9"/>
      <c r="E5" s="9"/>
      <c r="F5" s="9"/>
      <c r="G5" s="74"/>
      <c r="H5" s="74"/>
    </row>
    <row r="6" customFormat="false" ht="15" hidden="false" customHeight="true" outlineLevel="0" collapsed="false">
      <c r="A6" s="8" t="s">
        <v>8</v>
      </c>
      <c r="B6" s="8"/>
      <c r="C6" s="9" t="str">
        <f aca="false">'Stavební rozpočet'!C6</f>
        <v>Praha (554782),Modřany (728616), par.č. 4400/448</v>
      </c>
      <c r="D6" s="9"/>
      <c r="E6" s="9" t="s">
        <v>9</v>
      </c>
      <c r="F6" s="74" t="str">
        <f aca="false">'Stavební rozpočet'!I6</f>
        <v> </v>
      </c>
      <c r="G6" s="74"/>
      <c r="H6" s="74"/>
    </row>
    <row r="7" customFormat="false" ht="15" hidden="false" customHeight="false" outlineLevel="0" collapsed="false">
      <c r="A7" s="8"/>
      <c r="B7" s="8"/>
      <c r="C7" s="9"/>
      <c r="D7" s="9"/>
      <c r="E7" s="9"/>
      <c r="F7" s="9"/>
      <c r="G7" s="74"/>
      <c r="H7" s="74"/>
    </row>
    <row r="8" customFormat="false" ht="15" hidden="false" customHeight="true" outlineLevel="0" collapsed="false">
      <c r="A8" s="8" t="s">
        <v>14</v>
      </c>
      <c r="B8" s="8"/>
      <c r="C8" s="9" t="str">
        <f aca="false">'Stavební rozpočet'!I8</f>
        <v>Bohuslav Hemala</v>
      </c>
      <c r="D8" s="9"/>
      <c r="E8" s="9" t="s">
        <v>96</v>
      </c>
      <c r="F8" s="74" t="str">
        <f aca="false">'Stavební rozpočet'!F8</f>
        <v>08.01.2026</v>
      </c>
      <c r="G8" s="74"/>
      <c r="H8" s="74"/>
    </row>
    <row r="9" customFormat="false" ht="15" hidden="false" customHeight="false" outlineLevel="0" collapsed="false">
      <c r="A9" s="8"/>
      <c r="B9" s="8"/>
      <c r="C9" s="9"/>
      <c r="D9" s="9"/>
      <c r="E9" s="9"/>
      <c r="F9" s="9"/>
      <c r="G9" s="74"/>
      <c r="H9" s="74"/>
    </row>
    <row r="10" customFormat="false" ht="15" hidden="false" customHeight="true" outlineLevel="0" collapsed="false">
      <c r="A10" s="169" t="s">
        <v>124</v>
      </c>
      <c r="B10" s="170" t="s">
        <v>100</v>
      </c>
      <c r="C10" s="170" t="s">
        <v>125</v>
      </c>
      <c r="D10" s="171" t="s">
        <v>101</v>
      </c>
      <c r="E10" s="171"/>
      <c r="F10" s="170" t="s">
        <v>126</v>
      </c>
      <c r="G10" s="172" t="s">
        <v>127</v>
      </c>
      <c r="H10" s="173" t="s">
        <v>637</v>
      </c>
    </row>
    <row r="11" customFormat="false" ht="15" hidden="false" customHeight="true" outlineLevel="0" collapsed="false">
      <c r="A11" s="129"/>
      <c r="B11" s="129" t="s">
        <v>638</v>
      </c>
      <c r="C11" s="129" t="s">
        <v>149</v>
      </c>
      <c r="D11" s="130" t="s">
        <v>150</v>
      </c>
      <c r="E11" s="130"/>
      <c r="F11" s="129"/>
      <c r="G11" s="133"/>
      <c r="H11" s="133"/>
    </row>
    <row r="12" customFormat="false" ht="15" hidden="false" customHeight="true" outlineLevel="0" collapsed="false">
      <c r="A12" s="129"/>
      <c r="B12" s="129" t="s">
        <v>638</v>
      </c>
      <c r="C12" s="129" t="s">
        <v>222</v>
      </c>
      <c r="D12" s="130" t="s">
        <v>385</v>
      </c>
      <c r="E12" s="130"/>
      <c r="F12" s="129"/>
      <c r="G12" s="133"/>
      <c r="H12" s="133"/>
    </row>
    <row r="13" customFormat="false" ht="15" hidden="false" customHeight="true" outlineLevel="0" collapsed="false">
      <c r="A13" s="129"/>
      <c r="B13" s="129" t="s">
        <v>638</v>
      </c>
      <c r="C13" s="129" t="s">
        <v>526</v>
      </c>
      <c r="D13" s="130" t="s">
        <v>527</v>
      </c>
      <c r="E13" s="130"/>
      <c r="F13" s="129"/>
      <c r="G13" s="133"/>
      <c r="H13" s="133"/>
    </row>
    <row r="14" customFormat="false" ht="24.05" hidden="false" customHeight="true" outlineLevel="0" collapsed="false">
      <c r="A14" s="134" t="s">
        <v>151</v>
      </c>
      <c r="B14" s="134" t="s">
        <v>109</v>
      </c>
      <c r="C14" s="134" t="s">
        <v>365</v>
      </c>
      <c r="D14" s="135" t="s">
        <v>366</v>
      </c>
      <c r="E14" s="135"/>
      <c r="F14" s="134" t="s">
        <v>169</v>
      </c>
      <c r="G14" s="137" t="n">
        <v>67.4</v>
      </c>
      <c r="H14" s="137" t="n">
        <v>0</v>
      </c>
    </row>
    <row r="15" customFormat="false" ht="15" hidden="false" customHeight="false" outlineLevel="0" collapsed="false">
      <c r="A15" s="174"/>
      <c r="B15" s="174"/>
      <c r="C15" s="174"/>
      <c r="D15" s="175" t="s">
        <v>708</v>
      </c>
      <c r="E15" s="176"/>
      <c r="F15" s="176"/>
      <c r="G15" s="177" t="n">
        <v>67.4</v>
      </c>
      <c r="H15" s="174"/>
    </row>
    <row r="16" customFormat="false" ht="15" hidden="false" customHeight="true" outlineLevel="0" collapsed="false">
      <c r="A16" s="139" t="s">
        <v>160</v>
      </c>
      <c r="B16" s="139" t="s">
        <v>109</v>
      </c>
      <c r="C16" s="139" t="s">
        <v>370</v>
      </c>
      <c r="D16" s="140" t="s">
        <v>371</v>
      </c>
      <c r="E16" s="140"/>
      <c r="F16" s="139" t="s">
        <v>372</v>
      </c>
      <c r="G16" s="142" t="n">
        <v>0.044</v>
      </c>
      <c r="H16" s="142" t="n">
        <v>0</v>
      </c>
    </row>
    <row r="17" customFormat="false" ht="15" hidden="false" customHeight="false" outlineLevel="0" collapsed="false">
      <c r="A17" s="174"/>
      <c r="B17" s="174"/>
      <c r="C17" s="174"/>
      <c r="D17" s="175" t="s">
        <v>709</v>
      </c>
      <c r="E17" s="176"/>
      <c r="F17" s="176"/>
      <c r="G17" s="178" t="n">
        <v>0.04</v>
      </c>
      <c r="H17" s="174"/>
    </row>
    <row r="18" customFormat="false" ht="15" hidden="false" customHeight="false" outlineLevel="0" collapsed="false">
      <c r="A18" s="139"/>
      <c r="B18" s="139"/>
      <c r="C18" s="139"/>
      <c r="D18" s="175" t="s">
        <v>710</v>
      </c>
      <c r="E18" s="176"/>
      <c r="F18" s="176"/>
      <c r="G18" s="178" t="n">
        <v>0.004</v>
      </c>
      <c r="H18" s="143"/>
    </row>
    <row r="19" customFormat="false" ht="15" hidden="false" customHeight="true" outlineLevel="0" collapsed="false">
      <c r="A19" s="134" t="s">
        <v>164</v>
      </c>
      <c r="B19" s="134" t="s">
        <v>109</v>
      </c>
      <c r="C19" s="134" t="s">
        <v>374</v>
      </c>
      <c r="D19" s="135" t="s">
        <v>375</v>
      </c>
      <c r="E19" s="135"/>
      <c r="F19" s="134" t="s">
        <v>169</v>
      </c>
      <c r="G19" s="137" t="n">
        <v>33.7</v>
      </c>
      <c r="H19" s="137" t="n">
        <v>0</v>
      </c>
    </row>
    <row r="20" customFormat="false" ht="15" hidden="false" customHeight="false" outlineLevel="0" collapsed="false">
      <c r="A20" s="174"/>
      <c r="B20" s="174"/>
      <c r="C20" s="174"/>
      <c r="D20" s="175" t="s">
        <v>711</v>
      </c>
      <c r="E20" s="176" t="s">
        <v>712</v>
      </c>
      <c r="F20" s="176"/>
      <c r="G20" s="177" t="n">
        <v>33.7</v>
      </c>
      <c r="H20" s="174"/>
    </row>
    <row r="21" customFormat="false" ht="15" hidden="false" customHeight="true" outlineLevel="0" collapsed="false">
      <c r="A21" s="134" t="s">
        <v>166</v>
      </c>
      <c r="B21" s="134" t="s">
        <v>109</v>
      </c>
      <c r="C21" s="134" t="s">
        <v>377</v>
      </c>
      <c r="D21" s="135" t="s">
        <v>378</v>
      </c>
      <c r="E21" s="135"/>
      <c r="F21" s="134" t="s">
        <v>169</v>
      </c>
      <c r="G21" s="137" t="n">
        <v>33.7</v>
      </c>
      <c r="H21" s="137" t="n">
        <v>0</v>
      </c>
    </row>
    <row r="22" customFormat="false" ht="15" hidden="false" customHeight="false" outlineLevel="0" collapsed="false">
      <c r="A22" s="174"/>
      <c r="B22" s="174"/>
      <c r="C22" s="174"/>
      <c r="D22" s="175" t="s">
        <v>713</v>
      </c>
      <c r="E22" s="176"/>
      <c r="F22" s="176"/>
      <c r="G22" s="177" t="n">
        <v>33.7</v>
      </c>
      <c r="H22" s="174"/>
    </row>
    <row r="23" customFormat="false" ht="15" hidden="false" customHeight="true" outlineLevel="0" collapsed="false">
      <c r="A23" s="134" t="s">
        <v>170</v>
      </c>
      <c r="B23" s="134" t="s">
        <v>109</v>
      </c>
      <c r="C23" s="134" t="s">
        <v>380</v>
      </c>
      <c r="D23" s="135" t="s">
        <v>381</v>
      </c>
      <c r="E23" s="135"/>
      <c r="F23" s="134" t="s">
        <v>169</v>
      </c>
      <c r="G23" s="137" t="n">
        <v>33.7</v>
      </c>
      <c r="H23" s="137" t="n">
        <v>0</v>
      </c>
    </row>
    <row r="24" customFormat="false" ht="15" hidden="false" customHeight="false" outlineLevel="0" collapsed="false">
      <c r="A24" s="174"/>
      <c r="B24" s="174"/>
      <c r="C24" s="174"/>
      <c r="D24" s="175" t="s">
        <v>713</v>
      </c>
      <c r="E24" s="176"/>
      <c r="F24" s="176"/>
      <c r="G24" s="177" t="n">
        <v>33.7</v>
      </c>
      <c r="H24" s="174"/>
    </row>
    <row r="25" customFormat="false" ht="15" hidden="false" customHeight="true" outlineLevel="0" collapsed="false">
      <c r="A25" s="134" t="s">
        <v>173</v>
      </c>
      <c r="B25" s="134" t="s">
        <v>109</v>
      </c>
      <c r="C25" s="134" t="s">
        <v>383</v>
      </c>
      <c r="D25" s="135" t="s">
        <v>384</v>
      </c>
      <c r="E25" s="135"/>
      <c r="F25" s="134" t="s">
        <v>169</v>
      </c>
      <c r="G25" s="137" t="n">
        <v>33.7</v>
      </c>
      <c r="H25" s="137" t="n">
        <v>0</v>
      </c>
    </row>
    <row r="26" customFormat="false" ht="15" hidden="false" customHeight="false" outlineLevel="0" collapsed="false">
      <c r="A26" s="174"/>
      <c r="B26" s="174"/>
      <c r="C26" s="174"/>
      <c r="D26" s="175" t="s">
        <v>713</v>
      </c>
      <c r="E26" s="176"/>
      <c r="F26" s="176"/>
      <c r="G26" s="177" t="n">
        <v>33.7</v>
      </c>
      <c r="H26" s="174"/>
    </row>
    <row r="27" customFormat="false" ht="15" hidden="false" customHeight="true" outlineLevel="0" collapsed="false">
      <c r="A27" s="134" t="s">
        <v>176</v>
      </c>
      <c r="B27" s="134" t="s">
        <v>109</v>
      </c>
      <c r="C27" s="134" t="s">
        <v>387</v>
      </c>
      <c r="D27" s="135" t="s">
        <v>388</v>
      </c>
      <c r="E27" s="135"/>
      <c r="F27" s="134" t="s">
        <v>202</v>
      </c>
      <c r="G27" s="137" t="n">
        <v>193</v>
      </c>
      <c r="H27" s="137" t="n">
        <v>0</v>
      </c>
    </row>
    <row r="28" customFormat="false" ht="15" hidden="false" customHeight="false" outlineLevel="0" collapsed="false">
      <c r="A28" s="174"/>
      <c r="B28" s="174"/>
      <c r="C28" s="174"/>
      <c r="D28" s="175" t="s">
        <v>714</v>
      </c>
      <c r="E28" s="176"/>
      <c r="F28" s="176"/>
      <c r="G28" s="177" t="n">
        <v>193</v>
      </c>
      <c r="H28" s="174"/>
    </row>
    <row r="29" customFormat="false" ht="15" hidden="false" customHeight="true" outlineLevel="0" collapsed="false">
      <c r="A29" s="134" t="s">
        <v>181</v>
      </c>
      <c r="B29" s="134" t="s">
        <v>109</v>
      </c>
      <c r="C29" s="134" t="s">
        <v>391</v>
      </c>
      <c r="D29" s="135" t="s">
        <v>392</v>
      </c>
      <c r="E29" s="135"/>
      <c r="F29" s="134" t="s">
        <v>202</v>
      </c>
      <c r="G29" s="137" t="n">
        <v>193</v>
      </c>
      <c r="H29" s="137" t="n">
        <v>0</v>
      </c>
    </row>
    <row r="30" customFormat="false" ht="15" hidden="false" customHeight="false" outlineLevel="0" collapsed="false">
      <c r="A30" s="174"/>
      <c r="B30" s="174"/>
      <c r="C30" s="174"/>
      <c r="D30" s="175" t="s">
        <v>714</v>
      </c>
      <c r="E30" s="176"/>
      <c r="F30" s="176"/>
      <c r="G30" s="177" t="n">
        <v>193</v>
      </c>
      <c r="H30" s="174"/>
    </row>
    <row r="31" customFormat="false" ht="15" hidden="false" customHeight="true" outlineLevel="0" collapsed="false">
      <c r="A31" s="134" t="s">
        <v>186</v>
      </c>
      <c r="B31" s="134" t="s">
        <v>109</v>
      </c>
      <c r="C31" s="134" t="s">
        <v>394</v>
      </c>
      <c r="D31" s="135" t="s">
        <v>395</v>
      </c>
      <c r="E31" s="135"/>
      <c r="F31" s="134" t="s">
        <v>202</v>
      </c>
      <c r="G31" s="137" t="n">
        <v>193</v>
      </c>
      <c r="H31" s="137" t="n">
        <v>0</v>
      </c>
    </row>
    <row r="32" customFormat="false" ht="15" hidden="false" customHeight="false" outlineLevel="0" collapsed="false">
      <c r="A32" s="174"/>
      <c r="B32" s="174"/>
      <c r="C32" s="174"/>
      <c r="D32" s="175" t="s">
        <v>714</v>
      </c>
      <c r="E32" s="176"/>
      <c r="F32" s="176"/>
      <c r="G32" s="177" t="n">
        <v>193</v>
      </c>
      <c r="H32" s="174"/>
    </row>
    <row r="33" customFormat="false" ht="15" hidden="false" customHeight="true" outlineLevel="0" collapsed="false">
      <c r="A33" s="139" t="s">
        <v>192</v>
      </c>
      <c r="B33" s="139" t="s">
        <v>109</v>
      </c>
      <c r="C33" s="139" t="s">
        <v>397</v>
      </c>
      <c r="D33" s="140" t="s">
        <v>398</v>
      </c>
      <c r="E33" s="140"/>
      <c r="F33" s="139" t="s">
        <v>202</v>
      </c>
      <c r="G33" s="142" t="n">
        <v>1.93</v>
      </c>
      <c r="H33" s="142" t="n">
        <v>0</v>
      </c>
    </row>
    <row r="34" customFormat="false" ht="15" hidden="false" customHeight="false" outlineLevel="0" collapsed="false">
      <c r="A34" s="174"/>
      <c r="B34" s="174"/>
      <c r="C34" s="174"/>
      <c r="D34" s="175" t="s">
        <v>715</v>
      </c>
      <c r="E34" s="176"/>
      <c r="F34" s="176"/>
      <c r="G34" s="178" t="n">
        <v>1.93</v>
      </c>
      <c r="H34" s="174"/>
    </row>
    <row r="35" customFormat="false" ht="15" hidden="false" customHeight="true" outlineLevel="0" collapsed="false">
      <c r="A35" s="134" t="s">
        <v>149</v>
      </c>
      <c r="B35" s="134" t="s">
        <v>109</v>
      </c>
      <c r="C35" s="134" t="s">
        <v>400</v>
      </c>
      <c r="D35" s="135" t="s">
        <v>401</v>
      </c>
      <c r="E35" s="135"/>
      <c r="F35" s="134" t="s">
        <v>169</v>
      </c>
      <c r="G35" s="137" t="n">
        <v>33.7</v>
      </c>
      <c r="H35" s="137" t="n">
        <v>0</v>
      </c>
    </row>
    <row r="36" customFormat="false" ht="15" hidden="false" customHeight="false" outlineLevel="0" collapsed="false">
      <c r="A36" s="174"/>
      <c r="B36" s="174"/>
      <c r="C36" s="174"/>
      <c r="D36" s="175" t="s">
        <v>713</v>
      </c>
      <c r="E36" s="176"/>
      <c r="F36" s="176"/>
      <c r="G36" s="177" t="n">
        <v>33.7</v>
      </c>
      <c r="H36" s="174"/>
    </row>
    <row r="37" customFormat="false" ht="15" hidden="false" customHeight="true" outlineLevel="0" collapsed="false">
      <c r="A37" s="139" t="s">
        <v>199</v>
      </c>
      <c r="B37" s="139" t="s">
        <v>109</v>
      </c>
      <c r="C37" s="139" t="s">
        <v>356</v>
      </c>
      <c r="D37" s="140" t="s">
        <v>403</v>
      </c>
      <c r="E37" s="140"/>
      <c r="F37" s="139" t="s">
        <v>179</v>
      </c>
      <c r="G37" s="142" t="n">
        <v>4.671</v>
      </c>
      <c r="H37" s="142" t="n">
        <v>0</v>
      </c>
    </row>
    <row r="38" customFormat="false" ht="15" hidden="false" customHeight="false" outlineLevel="0" collapsed="false">
      <c r="A38" s="174"/>
      <c r="B38" s="174"/>
      <c r="C38" s="174"/>
      <c r="D38" s="175" t="s">
        <v>716</v>
      </c>
      <c r="E38" s="176"/>
      <c r="F38" s="176"/>
      <c r="G38" s="178" t="n">
        <v>4.246</v>
      </c>
      <c r="H38" s="174"/>
    </row>
    <row r="39" customFormat="false" ht="15" hidden="false" customHeight="false" outlineLevel="0" collapsed="false">
      <c r="A39" s="139"/>
      <c r="B39" s="139"/>
      <c r="C39" s="139"/>
      <c r="D39" s="175" t="s">
        <v>717</v>
      </c>
      <c r="E39" s="176"/>
      <c r="F39" s="176"/>
      <c r="G39" s="178" t="n">
        <v>0.425</v>
      </c>
      <c r="H39" s="143"/>
    </row>
    <row r="40" customFormat="false" ht="15" hidden="false" customHeight="true" outlineLevel="0" collapsed="false">
      <c r="A40" s="134" t="s">
        <v>206</v>
      </c>
      <c r="B40" s="134" t="s">
        <v>109</v>
      </c>
      <c r="C40" s="134" t="s">
        <v>380</v>
      </c>
      <c r="D40" s="135" t="s">
        <v>405</v>
      </c>
      <c r="E40" s="135"/>
      <c r="F40" s="134" t="s">
        <v>169</v>
      </c>
      <c r="G40" s="137" t="n">
        <v>33.7</v>
      </c>
      <c r="H40" s="137" t="n">
        <v>0</v>
      </c>
    </row>
    <row r="41" customFormat="false" ht="15" hidden="false" customHeight="false" outlineLevel="0" collapsed="false">
      <c r="A41" s="174"/>
      <c r="B41" s="174"/>
      <c r="C41" s="174"/>
      <c r="D41" s="175" t="s">
        <v>713</v>
      </c>
      <c r="E41" s="176"/>
      <c r="F41" s="176"/>
      <c r="G41" s="177" t="n">
        <v>33.7</v>
      </c>
      <c r="H41" s="174"/>
    </row>
    <row r="42" customFormat="false" ht="15" hidden="false" customHeight="true" outlineLevel="0" collapsed="false">
      <c r="A42" s="134" t="s">
        <v>210</v>
      </c>
      <c r="B42" s="134" t="s">
        <v>109</v>
      </c>
      <c r="C42" s="134" t="s">
        <v>407</v>
      </c>
      <c r="D42" s="135" t="s">
        <v>408</v>
      </c>
      <c r="E42" s="135"/>
      <c r="F42" s="134" t="s">
        <v>169</v>
      </c>
      <c r="G42" s="137" t="n">
        <v>33.7</v>
      </c>
      <c r="H42" s="137" t="n">
        <v>0</v>
      </c>
    </row>
    <row r="43" customFormat="false" ht="15" hidden="false" customHeight="false" outlineLevel="0" collapsed="false">
      <c r="A43" s="174"/>
      <c r="B43" s="174"/>
      <c r="C43" s="174"/>
      <c r="D43" s="175" t="s">
        <v>713</v>
      </c>
      <c r="E43" s="176"/>
      <c r="F43" s="176"/>
      <c r="G43" s="177" t="n">
        <v>33.7</v>
      </c>
      <c r="H43" s="174"/>
    </row>
    <row r="44" customFormat="false" ht="15" hidden="false" customHeight="true" outlineLevel="0" collapsed="false">
      <c r="A44" s="134" t="s">
        <v>213</v>
      </c>
      <c r="B44" s="134" t="s">
        <v>109</v>
      </c>
      <c r="C44" s="134" t="s">
        <v>410</v>
      </c>
      <c r="D44" s="135" t="s">
        <v>411</v>
      </c>
      <c r="E44" s="135"/>
      <c r="F44" s="134" t="s">
        <v>189</v>
      </c>
      <c r="G44" s="137" t="n">
        <v>0.674</v>
      </c>
      <c r="H44" s="137" t="n">
        <v>0</v>
      </c>
    </row>
    <row r="45" customFormat="false" ht="15" hidden="false" customHeight="false" outlineLevel="0" collapsed="false">
      <c r="A45" s="174"/>
      <c r="B45" s="174"/>
      <c r="C45" s="174"/>
      <c r="D45" s="175" t="s">
        <v>718</v>
      </c>
      <c r="E45" s="176"/>
      <c r="F45" s="176"/>
      <c r="G45" s="177" t="n">
        <v>0.674</v>
      </c>
      <c r="H45" s="174"/>
    </row>
    <row r="46" customFormat="false" ht="15" hidden="false" customHeight="true" outlineLevel="0" collapsed="false">
      <c r="A46" s="134" t="s">
        <v>216</v>
      </c>
      <c r="B46" s="134" t="s">
        <v>109</v>
      </c>
      <c r="C46" s="134" t="s">
        <v>413</v>
      </c>
      <c r="D46" s="135" t="s">
        <v>414</v>
      </c>
      <c r="E46" s="135"/>
      <c r="F46" s="134" t="s">
        <v>189</v>
      </c>
      <c r="G46" s="137" t="n">
        <v>0.674</v>
      </c>
      <c r="H46" s="137" t="n">
        <v>0</v>
      </c>
    </row>
    <row r="47" customFormat="false" ht="15" hidden="false" customHeight="false" outlineLevel="0" collapsed="false">
      <c r="A47" s="174"/>
      <c r="B47" s="174"/>
      <c r="C47" s="174"/>
      <c r="D47" s="175" t="s">
        <v>719</v>
      </c>
      <c r="E47" s="176"/>
      <c r="F47" s="176"/>
      <c r="G47" s="177" t="n">
        <v>0.674</v>
      </c>
      <c r="H47" s="174"/>
    </row>
    <row r="48" customFormat="false" ht="15" hidden="false" customHeight="true" outlineLevel="0" collapsed="false">
      <c r="A48" s="139" t="s">
        <v>219</v>
      </c>
      <c r="B48" s="139" t="s">
        <v>109</v>
      </c>
      <c r="C48" s="139" t="s">
        <v>416</v>
      </c>
      <c r="D48" s="140" t="s">
        <v>417</v>
      </c>
      <c r="E48" s="140"/>
      <c r="F48" s="139" t="s">
        <v>202</v>
      </c>
      <c r="G48" s="142" t="n">
        <v>17</v>
      </c>
      <c r="H48" s="142" t="n">
        <v>0</v>
      </c>
    </row>
    <row r="49" customFormat="false" ht="15" hidden="false" customHeight="false" outlineLevel="0" collapsed="false">
      <c r="A49" s="174"/>
      <c r="B49" s="174"/>
      <c r="C49" s="174"/>
      <c r="D49" s="175" t="s">
        <v>219</v>
      </c>
      <c r="E49" s="176"/>
      <c r="F49" s="176"/>
      <c r="G49" s="178" t="n">
        <v>17</v>
      </c>
      <c r="H49" s="174"/>
    </row>
    <row r="50" customFormat="false" ht="15" hidden="false" customHeight="true" outlineLevel="0" collapsed="false">
      <c r="A50" s="139" t="s">
        <v>222</v>
      </c>
      <c r="B50" s="139" t="s">
        <v>109</v>
      </c>
      <c r="C50" s="139" t="s">
        <v>419</v>
      </c>
      <c r="D50" s="140" t="s">
        <v>420</v>
      </c>
      <c r="E50" s="140"/>
      <c r="F50" s="139" t="s">
        <v>202</v>
      </c>
      <c r="G50" s="142" t="n">
        <v>11</v>
      </c>
      <c r="H50" s="142" t="n">
        <v>0</v>
      </c>
    </row>
    <row r="51" customFormat="false" ht="15" hidden="false" customHeight="false" outlineLevel="0" collapsed="false">
      <c r="A51" s="174"/>
      <c r="B51" s="174"/>
      <c r="C51" s="174"/>
      <c r="D51" s="175" t="s">
        <v>149</v>
      </c>
      <c r="E51" s="176"/>
      <c r="F51" s="176"/>
      <c r="G51" s="178" t="n">
        <v>11</v>
      </c>
      <c r="H51" s="174"/>
    </row>
    <row r="52" customFormat="false" ht="15" hidden="false" customHeight="true" outlineLevel="0" collapsed="false">
      <c r="A52" s="139" t="s">
        <v>225</v>
      </c>
      <c r="B52" s="139" t="s">
        <v>109</v>
      </c>
      <c r="C52" s="139" t="s">
        <v>422</v>
      </c>
      <c r="D52" s="140" t="s">
        <v>423</v>
      </c>
      <c r="E52" s="140"/>
      <c r="F52" s="139" t="s">
        <v>202</v>
      </c>
      <c r="G52" s="142" t="n">
        <v>4</v>
      </c>
      <c r="H52" s="142" t="n">
        <v>0</v>
      </c>
    </row>
    <row r="53" customFormat="false" ht="15" hidden="false" customHeight="false" outlineLevel="0" collapsed="false">
      <c r="A53" s="174"/>
      <c r="B53" s="174"/>
      <c r="C53" s="174"/>
      <c r="D53" s="175" t="s">
        <v>166</v>
      </c>
      <c r="E53" s="176"/>
      <c r="F53" s="176"/>
      <c r="G53" s="178" t="n">
        <v>4</v>
      </c>
      <c r="H53" s="174"/>
    </row>
    <row r="54" customFormat="false" ht="15" hidden="false" customHeight="true" outlineLevel="0" collapsed="false">
      <c r="A54" s="139" t="s">
        <v>228</v>
      </c>
      <c r="B54" s="139" t="s">
        <v>109</v>
      </c>
      <c r="C54" s="139" t="s">
        <v>425</v>
      </c>
      <c r="D54" s="140" t="s">
        <v>426</v>
      </c>
      <c r="E54" s="140"/>
      <c r="F54" s="139" t="s">
        <v>202</v>
      </c>
      <c r="G54" s="142" t="n">
        <v>3</v>
      </c>
      <c r="H54" s="142" t="n">
        <v>0</v>
      </c>
    </row>
    <row r="55" customFormat="false" ht="15" hidden="false" customHeight="false" outlineLevel="0" collapsed="false">
      <c r="A55" s="174"/>
      <c r="B55" s="174"/>
      <c r="C55" s="174"/>
      <c r="D55" s="175" t="s">
        <v>164</v>
      </c>
      <c r="E55" s="176"/>
      <c r="F55" s="176"/>
      <c r="G55" s="178" t="n">
        <v>3</v>
      </c>
      <c r="H55" s="174"/>
    </row>
    <row r="56" customFormat="false" ht="15" hidden="false" customHeight="true" outlineLevel="0" collapsed="false">
      <c r="A56" s="139" t="s">
        <v>231</v>
      </c>
      <c r="B56" s="139" t="s">
        <v>109</v>
      </c>
      <c r="C56" s="139" t="s">
        <v>428</v>
      </c>
      <c r="D56" s="140" t="s">
        <v>429</v>
      </c>
      <c r="E56" s="140"/>
      <c r="F56" s="139" t="s">
        <v>202</v>
      </c>
      <c r="G56" s="142" t="n">
        <v>8</v>
      </c>
      <c r="H56" s="142" t="n">
        <v>0</v>
      </c>
    </row>
    <row r="57" customFormat="false" ht="15" hidden="false" customHeight="false" outlineLevel="0" collapsed="false">
      <c r="A57" s="174"/>
      <c r="B57" s="174"/>
      <c r="C57" s="174"/>
      <c r="D57" s="175" t="s">
        <v>181</v>
      </c>
      <c r="E57" s="176"/>
      <c r="F57" s="176"/>
      <c r="G57" s="178" t="n">
        <v>8</v>
      </c>
      <c r="H57" s="174"/>
    </row>
    <row r="58" customFormat="false" ht="15" hidden="false" customHeight="true" outlineLevel="0" collapsed="false">
      <c r="A58" s="139" t="s">
        <v>235</v>
      </c>
      <c r="B58" s="139" t="s">
        <v>109</v>
      </c>
      <c r="C58" s="139" t="s">
        <v>431</v>
      </c>
      <c r="D58" s="140" t="s">
        <v>432</v>
      </c>
      <c r="E58" s="140"/>
      <c r="F58" s="139" t="s">
        <v>202</v>
      </c>
      <c r="G58" s="142" t="n">
        <v>8</v>
      </c>
      <c r="H58" s="142" t="n">
        <v>0</v>
      </c>
    </row>
    <row r="59" customFormat="false" ht="15" hidden="false" customHeight="false" outlineLevel="0" collapsed="false">
      <c r="A59" s="174"/>
      <c r="B59" s="174"/>
      <c r="C59" s="174"/>
      <c r="D59" s="175" t="s">
        <v>181</v>
      </c>
      <c r="E59" s="176"/>
      <c r="F59" s="176"/>
      <c r="G59" s="178" t="n">
        <v>8</v>
      </c>
      <c r="H59" s="174"/>
    </row>
    <row r="60" customFormat="false" ht="15" hidden="false" customHeight="true" outlineLevel="0" collapsed="false">
      <c r="A60" s="139" t="s">
        <v>241</v>
      </c>
      <c r="B60" s="139" t="s">
        <v>109</v>
      </c>
      <c r="C60" s="139" t="s">
        <v>434</v>
      </c>
      <c r="D60" s="140" t="s">
        <v>435</v>
      </c>
      <c r="E60" s="140"/>
      <c r="F60" s="139" t="s">
        <v>202</v>
      </c>
      <c r="G60" s="142" t="n">
        <v>17</v>
      </c>
      <c r="H60" s="142" t="n">
        <v>0</v>
      </c>
    </row>
    <row r="61" customFormat="false" ht="15" hidden="false" customHeight="false" outlineLevel="0" collapsed="false">
      <c r="A61" s="174"/>
      <c r="B61" s="174"/>
      <c r="C61" s="174"/>
      <c r="D61" s="175" t="s">
        <v>219</v>
      </c>
      <c r="E61" s="176"/>
      <c r="F61" s="176"/>
      <c r="G61" s="178" t="n">
        <v>17</v>
      </c>
      <c r="H61" s="174"/>
    </row>
    <row r="62" customFormat="false" ht="15" hidden="false" customHeight="true" outlineLevel="0" collapsed="false">
      <c r="A62" s="139" t="s">
        <v>244</v>
      </c>
      <c r="B62" s="139" t="s">
        <v>109</v>
      </c>
      <c r="C62" s="139" t="s">
        <v>437</v>
      </c>
      <c r="D62" s="140" t="s">
        <v>438</v>
      </c>
      <c r="E62" s="140"/>
      <c r="F62" s="139" t="s">
        <v>202</v>
      </c>
      <c r="G62" s="142" t="n">
        <v>8</v>
      </c>
      <c r="H62" s="142" t="n">
        <v>0</v>
      </c>
    </row>
    <row r="63" customFormat="false" ht="15" hidden="false" customHeight="false" outlineLevel="0" collapsed="false">
      <c r="A63" s="174"/>
      <c r="B63" s="174"/>
      <c r="C63" s="174"/>
      <c r="D63" s="175" t="s">
        <v>181</v>
      </c>
      <c r="E63" s="176"/>
      <c r="F63" s="176"/>
      <c r="G63" s="178" t="n">
        <v>8</v>
      </c>
      <c r="H63" s="174"/>
    </row>
    <row r="64" customFormat="false" ht="15" hidden="false" customHeight="true" outlineLevel="0" collapsed="false">
      <c r="A64" s="139" t="s">
        <v>247</v>
      </c>
      <c r="B64" s="139" t="s">
        <v>109</v>
      </c>
      <c r="C64" s="139" t="s">
        <v>440</v>
      </c>
      <c r="D64" s="140" t="s">
        <v>441</v>
      </c>
      <c r="E64" s="140"/>
      <c r="F64" s="139" t="s">
        <v>202</v>
      </c>
      <c r="G64" s="142" t="n">
        <v>6</v>
      </c>
      <c r="H64" s="142" t="n">
        <v>0</v>
      </c>
    </row>
    <row r="65" customFormat="false" ht="15" hidden="false" customHeight="false" outlineLevel="0" collapsed="false">
      <c r="A65" s="174"/>
      <c r="B65" s="174"/>
      <c r="C65" s="174"/>
      <c r="D65" s="175" t="s">
        <v>173</v>
      </c>
      <c r="E65" s="176"/>
      <c r="F65" s="176"/>
      <c r="G65" s="178" t="n">
        <v>6</v>
      </c>
      <c r="H65" s="174"/>
    </row>
    <row r="66" customFormat="false" ht="15" hidden="false" customHeight="true" outlineLevel="0" collapsed="false">
      <c r="A66" s="139" t="s">
        <v>250</v>
      </c>
      <c r="B66" s="139" t="s">
        <v>109</v>
      </c>
      <c r="C66" s="139" t="s">
        <v>443</v>
      </c>
      <c r="D66" s="140" t="s">
        <v>444</v>
      </c>
      <c r="E66" s="140"/>
      <c r="F66" s="139" t="s">
        <v>202</v>
      </c>
      <c r="G66" s="142" t="n">
        <v>9</v>
      </c>
      <c r="H66" s="142" t="n">
        <v>0</v>
      </c>
    </row>
    <row r="67" customFormat="false" ht="15" hidden="false" customHeight="false" outlineLevel="0" collapsed="false">
      <c r="A67" s="174"/>
      <c r="B67" s="174"/>
      <c r="C67" s="174"/>
      <c r="D67" s="175" t="s">
        <v>186</v>
      </c>
      <c r="E67" s="176"/>
      <c r="F67" s="176"/>
      <c r="G67" s="178" t="n">
        <v>9</v>
      </c>
      <c r="H67" s="174"/>
    </row>
    <row r="68" customFormat="false" ht="15" hidden="false" customHeight="true" outlineLevel="0" collapsed="false">
      <c r="A68" s="139" t="s">
        <v>253</v>
      </c>
      <c r="B68" s="139" t="s">
        <v>109</v>
      </c>
      <c r="C68" s="139" t="s">
        <v>446</v>
      </c>
      <c r="D68" s="140" t="s">
        <v>447</v>
      </c>
      <c r="E68" s="140"/>
      <c r="F68" s="139" t="s">
        <v>202</v>
      </c>
      <c r="G68" s="142" t="n">
        <v>3</v>
      </c>
      <c r="H68" s="142" t="n">
        <v>0</v>
      </c>
    </row>
    <row r="69" customFormat="false" ht="15" hidden="false" customHeight="false" outlineLevel="0" collapsed="false">
      <c r="A69" s="174"/>
      <c r="B69" s="174"/>
      <c r="C69" s="174"/>
      <c r="D69" s="175" t="s">
        <v>164</v>
      </c>
      <c r="E69" s="176"/>
      <c r="F69" s="176"/>
      <c r="G69" s="178" t="n">
        <v>3</v>
      </c>
      <c r="H69" s="174"/>
    </row>
    <row r="70" customFormat="false" ht="15" hidden="false" customHeight="true" outlineLevel="0" collapsed="false">
      <c r="A70" s="139" t="s">
        <v>256</v>
      </c>
      <c r="B70" s="139" t="s">
        <v>109</v>
      </c>
      <c r="C70" s="139" t="s">
        <v>449</v>
      </c>
      <c r="D70" s="140" t="s">
        <v>450</v>
      </c>
      <c r="E70" s="140"/>
      <c r="F70" s="139" t="s">
        <v>202</v>
      </c>
      <c r="G70" s="142" t="n">
        <v>16</v>
      </c>
      <c r="H70" s="142" t="n">
        <v>0</v>
      </c>
    </row>
    <row r="71" customFormat="false" ht="15" hidden="false" customHeight="false" outlineLevel="0" collapsed="false">
      <c r="A71" s="174"/>
      <c r="B71" s="174"/>
      <c r="C71" s="174"/>
      <c r="D71" s="175" t="s">
        <v>216</v>
      </c>
      <c r="E71" s="176"/>
      <c r="F71" s="176"/>
      <c r="G71" s="178" t="n">
        <v>16</v>
      </c>
      <c r="H71" s="174"/>
    </row>
    <row r="72" customFormat="false" ht="15" hidden="false" customHeight="true" outlineLevel="0" collapsed="false">
      <c r="A72" s="139" t="s">
        <v>259</v>
      </c>
      <c r="B72" s="139" t="s">
        <v>109</v>
      </c>
      <c r="C72" s="139" t="s">
        <v>452</v>
      </c>
      <c r="D72" s="140" t="s">
        <v>453</v>
      </c>
      <c r="E72" s="140"/>
      <c r="F72" s="139" t="s">
        <v>202</v>
      </c>
      <c r="G72" s="142" t="n">
        <v>10</v>
      </c>
      <c r="H72" s="142" t="n">
        <v>0</v>
      </c>
    </row>
    <row r="73" customFormat="false" ht="15" hidden="false" customHeight="false" outlineLevel="0" collapsed="false">
      <c r="A73" s="174"/>
      <c r="B73" s="174"/>
      <c r="C73" s="174"/>
      <c r="D73" s="175" t="s">
        <v>192</v>
      </c>
      <c r="E73" s="176"/>
      <c r="F73" s="176"/>
      <c r="G73" s="178" t="n">
        <v>10</v>
      </c>
      <c r="H73" s="174"/>
    </row>
    <row r="74" customFormat="false" ht="15" hidden="false" customHeight="true" outlineLevel="0" collapsed="false">
      <c r="A74" s="139" t="s">
        <v>262</v>
      </c>
      <c r="B74" s="139" t="s">
        <v>109</v>
      </c>
      <c r="C74" s="139" t="s">
        <v>454</v>
      </c>
      <c r="D74" s="140" t="s">
        <v>455</v>
      </c>
      <c r="E74" s="140"/>
      <c r="F74" s="139" t="s">
        <v>202</v>
      </c>
      <c r="G74" s="142" t="n">
        <v>7</v>
      </c>
      <c r="H74" s="142" t="n">
        <v>0</v>
      </c>
    </row>
    <row r="75" customFormat="false" ht="15" hidden="false" customHeight="false" outlineLevel="0" collapsed="false">
      <c r="A75" s="174"/>
      <c r="B75" s="174"/>
      <c r="C75" s="174"/>
      <c r="D75" s="175" t="s">
        <v>176</v>
      </c>
      <c r="E75" s="176"/>
      <c r="F75" s="176"/>
      <c r="G75" s="178" t="n">
        <v>7</v>
      </c>
      <c r="H75" s="174"/>
    </row>
    <row r="76" customFormat="false" ht="15" hidden="false" customHeight="true" outlineLevel="0" collapsed="false">
      <c r="A76" s="139" t="s">
        <v>265</v>
      </c>
      <c r="B76" s="139" t="s">
        <v>109</v>
      </c>
      <c r="C76" s="139" t="s">
        <v>456</v>
      </c>
      <c r="D76" s="140" t="s">
        <v>457</v>
      </c>
      <c r="E76" s="140"/>
      <c r="F76" s="139" t="s">
        <v>202</v>
      </c>
      <c r="G76" s="142" t="n">
        <v>11</v>
      </c>
      <c r="H76" s="142" t="n">
        <v>0</v>
      </c>
    </row>
    <row r="77" customFormat="false" ht="15" hidden="false" customHeight="false" outlineLevel="0" collapsed="false">
      <c r="A77" s="174"/>
      <c r="B77" s="174"/>
      <c r="C77" s="174"/>
      <c r="D77" s="175" t="s">
        <v>149</v>
      </c>
      <c r="E77" s="176"/>
      <c r="F77" s="176"/>
      <c r="G77" s="178" t="n">
        <v>11</v>
      </c>
      <c r="H77" s="174"/>
    </row>
    <row r="78" customFormat="false" ht="15" hidden="false" customHeight="true" outlineLevel="0" collapsed="false">
      <c r="A78" s="139" t="s">
        <v>268</v>
      </c>
      <c r="B78" s="139" t="s">
        <v>109</v>
      </c>
      <c r="C78" s="139" t="s">
        <v>459</v>
      </c>
      <c r="D78" s="140" t="s">
        <v>460</v>
      </c>
      <c r="E78" s="140"/>
      <c r="F78" s="139" t="s">
        <v>202</v>
      </c>
      <c r="G78" s="142" t="n">
        <v>9</v>
      </c>
      <c r="H78" s="142" t="n">
        <v>0</v>
      </c>
    </row>
    <row r="79" customFormat="false" ht="15" hidden="false" customHeight="false" outlineLevel="0" collapsed="false">
      <c r="A79" s="174"/>
      <c r="B79" s="174"/>
      <c r="C79" s="174"/>
      <c r="D79" s="175" t="s">
        <v>186</v>
      </c>
      <c r="E79" s="176"/>
      <c r="F79" s="176"/>
      <c r="G79" s="178" t="n">
        <v>9</v>
      </c>
      <c r="H79" s="174"/>
    </row>
    <row r="80" customFormat="false" ht="15" hidden="false" customHeight="true" outlineLevel="0" collapsed="false">
      <c r="A80" s="139" t="s">
        <v>270</v>
      </c>
      <c r="B80" s="139" t="s">
        <v>109</v>
      </c>
      <c r="C80" s="139" t="s">
        <v>462</v>
      </c>
      <c r="D80" s="140" t="s">
        <v>463</v>
      </c>
      <c r="E80" s="140"/>
      <c r="F80" s="139" t="s">
        <v>202</v>
      </c>
      <c r="G80" s="142" t="n">
        <v>3</v>
      </c>
      <c r="H80" s="142" t="n">
        <v>0</v>
      </c>
    </row>
    <row r="81" customFormat="false" ht="15" hidden="false" customHeight="false" outlineLevel="0" collapsed="false">
      <c r="A81" s="174"/>
      <c r="B81" s="174"/>
      <c r="C81" s="174"/>
      <c r="D81" s="175" t="s">
        <v>164</v>
      </c>
      <c r="E81" s="176"/>
      <c r="F81" s="176"/>
      <c r="G81" s="178" t="n">
        <v>3</v>
      </c>
      <c r="H81" s="174"/>
    </row>
    <row r="82" customFormat="false" ht="15" hidden="false" customHeight="true" outlineLevel="0" collapsed="false">
      <c r="A82" s="139" t="s">
        <v>271</v>
      </c>
      <c r="B82" s="139" t="s">
        <v>109</v>
      </c>
      <c r="C82" s="139" t="s">
        <v>465</v>
      </c>
      <c r="D82" s="140" t="s">
        <v>466</v>
      </c>
      <c r="E82" s="140"/>
      <c r="F82" s="139" t="s">
        <v>202</v>
      </c>
      <c r="G82" s="142" t="n">
        <v>5</v>
      </c>
      <c r="H82" s="142" t="n">
        <v>0</v>
      </c>
    </row>
    <row r="83" customFormat="false" ht="15" hidden="false" customHeight="false" outlineLevel="0" collapsed="false">
      <c r="A83" s="174"/>
      <c r="B83" s="174"/>
      <c r="C83" s="174"/>
      <c r="D83" s="175" t="s">
        <v>170</v>
      </c>
      <c r="E83" s="176"/>
      <c r="F83" s="176"/>
      <c r="G83" s="178" t="n">
        <v>5</v>
      </c>
      <c r="H83" s="174"/>
    </row>
    <row r="84" customFormat="false" ht="15" hidden="false" customHeight="true" outlineLevel="0" collapsed="false">
      <c r="A84" s="139" t="s">
        <v>276</v>
      </c>
      <c r="B84" s="139" t="s">
        <v>109</v>
      </c>
      <c r="C84" s="139" t="s">
        <v>468</v>
      </c>
      <c r="D84" s="140" t="s">
        <v>469</v>
      </c>
      <c r="E84" s="140"/>
      <c r="F84" s="139" t="s">
        <v>202</v>
      </c>
      <c r="G84" s="142" t="n">
        <v>7</v>
      </c>
      <c r="H84" s="142" t="n">
        <v>0</v>
      </c>
    </row>
    <row r="85" customFormat="false" ht="15" hidden="false" customHeight="false" outlineLevel="0" collapsed="false">
      <c r="A85" s="174"/>
      <c r="B85" s="174"/>
      <c r="C85" s="174"/>
      <c r="D85" s="175" t="s">
        <v>176</v>
      </c>
      <c r="E85" s="176"/>
      <c r="F85" s="176"/>
      <c r="G85" s="178" t="n">
        <v>7</v>
      </c>
      <c r="H85" s="174"/>
    </row>
    <row r="86" customFormat="false" ht="15" hidden="false" customHeight="true" outlineLevel="0" collapsed="false">
      <c r="A86" s="139" t="s">
        <v>281</v>
      </c>
      <c r="B86" s="139" t="s">
        <v>109</v>
      </c>
      <c r="C86" s="139" t="s">
        <v>470</v>
      </c>
      <c r="D86" s="140" t="s">
        <v>435</v>
      </c>
      <c r="E86" s="140"/>
      <c r="F86" s="139" t="s">
        <v>202</v>
      </c>
      <c r="G86" s="142" t="n">
        <v>6</v>
      </c>
      <c r="H86" s="142" t="n">
        <v>0</v>
      </c>
    </row>
    <row r="87" customFormat="false" ht="15" hidden="false" customHeight="false" outlineLevel="0" collapsed="false">
      <c r="A87" s="174"/>
      <c r="B87" s="174"/>
      <c r="C87" s="174"/>
      <c r="D87" s="175" t="s">
        <v>173</v>
      </c>
      <c r="E87" s="176"/>
      <c r="F87" s="176"/>
      <c r="G87" s="178" t="n">
        <v>6</v>
      </c>
      <c r="H87" s="174"/>
    </row>
    <row r="88" customFormat="false" ht="15" hidden="false" customHeight="true" outlineLevel="0" collapsed="false">
      <c r="A88" s="134" t="s">
        <v>284</v>
      </c>
      <c r="B88" s="134" t="s">
        <v>109</v>
      </c>
      <c r="C88" s="134" t="s">
        <v>391</v>
      </c>
      <c r="D88" s="135" t="s">
        <v>471</v>
      </c>
      <c r="E88" s="135"/>
      <c r="F88" s="134" t="s">
        <v>202</v>
      </c>
      <c r="G88" s="137" t="n">
        <v>340</v>
      </c>
      <c r="H88" s="137" t="n">
        <v>0</v>
      </c>
    </row>
    <row r="89" customFormat="false" ht="15" hidden="false" customHeight="false" outlineLevel="0" collapsed="false">
      <c r="A89" s="174"/>
      <c r="B89" s="174"/>
      <c r="C89" s="174"/>
      <c r="D89" s="175" t="s">
        <v>720</v>
      </c>
      <c r="E89" s="176"/>
      <c r="F89" s="176"/>
      <c r="G89" s="177" t="n">
        <v>340</v>
      </c>
      <c r="H89" s="174"/>
    </row>
    <row r="90" customFormat="false" ht="15" hidden="false" customHeight="true" outlineLevel="0" collapsed="false">
      <c r="A90" s="134" t="s">
        <v>287</v>
      </c>
      <c r="B90" s="134" t="s">
        <v>109</v>
      </c>
      <c r="C90" s="134" t="s">
        <v>473</v>
      </c>
      <c r="D90" s="135" t="s">
        <v>474</v>
      </c>
      <c r="E90" s="135"/>
      <c r="F90" s="134" t="s">
        <v>202</v>
      </c>
      <c r="G90" s="137" t="n">
        <v>340</v>
      </c>
      <c r="H90" s="137" t="n">
        <v>0</v>
      </c>
    </row>
    <row r="91" customFormat="false" ht="15" hidden="false" customHeight="false" outlineLevel="0" collapsed="false">
      <c r="A91" s="174"/>
      <c r="B91" s="174"/>
      <c r="C91" s="174"/>
      <c r="D91" s="175" t="s">
        <v>720</v>
      </c>
      <c r="E91" s="176"/>
      <c r="F91" s="176"/>
      <c r="G91" s="177" t="n">
        <v>340</v>
      </c>
      <c r="H91" s="174"/>
    </row>
    <row r="92" customFormat="false" ht="15" hidden="false" customHeight="true" outlineLevel="0" collapsed="false">
      <c r="A92" s="139" t="s">
        <v>290</v>
      </c>
      <c r="B92" s="139" t="s">
        <v>109</v>
      </c>
      <c r="C92" s="139" t="s">
        <v>476</v>
      </c>
      <c r="D92" s="140" t="s">
        <v>477</v>
      </c>
      <c r="E92" s="140"/>
      <c r="F92" s="139" t="s">
        <v>202</v>
      </c>
      <c r="G92" s="142" t="n">
        <v>50</v>
      </c>
      <c r="H92" s="142" t="n">
        <v>0</v>
      </c>
    </row>
    <row r="93" customFormat="false" ht="15" hidden="false" customHeight="false" outlineLevel="0" collapsed="false">
      <c r="A93" s="174"/>
      <c r="B93" s="174"/>
      <c r="C93" s="174"/>
      <c r="D93" s="175" t="s">
        <v>328</v>
      </c>
      <c r="E93" s="176"/>
      <c r="F93" s="176"/>
      <c r="G93" s="178" t="n">
        <v>50</v>
      </c>
      <c r="H93" s="174"/>
    </row>
    <row r="94" customFormat="false" ht="15" hidden="false" customHeight="true" outlineLevel="0" collapsed="false">
      <c r="A94" s="139" t="s">
        <v>293</v>
      </c>
      <c r="B94" s="139" t="s">
        <v>109</v>
      </c>
      <c r="C94" s="139" t="s">
        <v>479</v>
      </c>
      <c r="D94" s="140" t="s">
        <v>480</v>
      </c>
      <c r="E94" s="140"/>
      <c r="F94" s="139" t="s">
        <v>202</v>
      </c>
      <c r="G94" s="142" t="n">
        <v>50</v>
      </c>
      <c r="H94" s="142" t="n">
        <v>0</v>
      </c>
    </row>
    <row r="95" customFormat="false" ht="15" hidden="false" customHeight="false" outlineLevel="0" collapsed="false">
      <c r="A95" s="174"/>
      <c r="B95" s="174"/>
      <c r="C95" s="174"/>
      <c r="D95" s="175" t="s">
        <v>328</v>
      </c>
      <c r="E95" s="176"/>
      <c r="F95" s="176"/>
      <c r="G95" s="178" t="n">
        <v>50</v>
      </c>
      <c r="H95" s="174"/>
    </row>
    <row r="96" customFormat="false" ht="15" hidden="false" customHeight="true" outlineLevel="0" collapsed="false">
      <c r="A96" s="139" t="s">
        <v>296</v>
      </c>
      <c r="B96" s="139" t="s">
        <v>109</v>
      </c>
      <c r="C96" s="139" t="s">
        <v>482</v>
      </c>
      <c r="D96" s="140" t="s">
        <v>483</v>
      </c>
      <c r="E96" s="140"/>
      <c r="F96" s="139" t="s">
        <v>202</v>
      </c>
      <c r="G96" s="142" t="n">
        <v>50</v>
      </c>
      <c r="H96" s="142" t="n">
        <v>0</v>
      </c>
    </row>
    <row r="97" customFormat="false" ht="15" hidden="false" customHeight="false" outlineLevel="0" collapsed="false">
      <c r="A97" s="174"/>
      <c r="B97" s="174"/>
      <c r="C97" s="174"/>
      <c r="D97" s="175" t="s">
        <v>328</v>
      </c>
      <c r="E97" s="176"/>
      <c r="F97" s="176"/>
      <c r="G97" s="178" t="n">
        <v>50</v>
      </c>
      <c r="H97" s="174"/>
    </row>
    <row r="98" customFormat="false" ht="15" hidden="false" customHeight="true" outlineLevel="0" collapsed="false">
      <c r="A98" s="139" t="s">
        <v>299</v>
      </c>
      <c r="B98" s="139" t="s">
        <v>109</v>
      </c>
      <c r="C98" s="139" t="s">
        <v>485</v>
      </c>
      <c r="D98" s="140" t="s">
        <v>486</v>
      </c>
      <c r="E98" s="140"/>
      <c r="F98" s="139" t="s">
        <v>202</v>
      </c>
      <c r="G98" s="142" t="n">
        <v>10</v>
      </c>
      <c r="H98" s="142" t="n">
        <v>0</v>
      </c>
    </row>
    <row r="99" customFormat="false" ht="15" hidden="false" customHeight="false" outlineLevel="0" collapsed="false">
      <c r="A99" s="174"/>
      <c r="B99" s="174"/>
      <c r="C99" s="174"/>
      <c r="D99" s="175" t="s">
        <v>192</v>
      </c>
      <c r="E99" s="176"/>
      <c r="F99" s="176"/>
      <c r="G99" s="178" t="n">
        <v>10</v>
      </c>
      <c r="H99" s="174"/>
    </row>
    <row r="100" customFormat="false" ht="15" hidden="false" customHeight="true" outlineLevel="0" collapsed="false">
      <c r="A100" s="139" t="s">
        <v>302</v>
      </c>
      <c r="B100" s="139" t="s">
        <v>109</v>
      </c>
      <c r="C100" s="139" t="s">
        <v>488</v>
      </c>
      <c r="D100" s="140" t="s">
        <v>489</v>
      </c>
      <c r="E100" s="140"/>
      <c r="F100" s="139" t="s">
        <v>202</v>
      </c>
      <c r="G100" s="142" t="n">
        <v>50</v>
      </c>
      <c r="H100" s="142" t="n">
        <v>0</v>
      </c>
    </row>
    <row r="101" customFormat="false" ht="15" hidden="false" customHeight="false" outlineLevel="0" collapsed="false">
      <c r="A101" s="174"/>
      <c r="B101" s="174"/>
      <c r="C101" s="174"/>
      <c r="D101" s="175" t="s">
        <v>328</v>
      </c>
      <c r="E101" s="176"/>
      <c r="F101" s="176"/>
      <c r="G101" s="178" t="n">
        <v>50</v>
      </c>
      <c r="H101" s="174"/>
    </row>
    <row r="102" customFormat="false" ht="15" hidden="false" customHeight="true" outlineLevel="0" collapsed="false">
      <c r="A102" s="139" t="s">
        <v>305</v>
      </c>
      <c r="B102" s="139" t="s">
        <v>109</v>
      </c>
      <c r="C102" s="139" t="s">
        <v>491</v>
      </c>
      <c r="D102" s="140" t="s">
        <v>492</v>
      </c>
      <c r="E102" s="140"/>
      <c r="F102" s="139" t="s">
        <v>202</v>
      </c>
      <c r="G102" s="142" t="n">
        <v>30</v>
      </c>
      <c r="H102" s="142" t="n">
        <v>0</v>
      </c>
    </row>
    <row r="103" customFormat="false" ht="15" hidden="false" customHeight="false" outlineLevel="0" collapsed="false">
      <c r="A103" s="174"/>
      <c r="B103" s="174"/>
      <c r="C103" s="174"/>
      <c r="D103" s="175" t="s">
        <v>262</v>
      </c>
      <c r="E103" s="176"/>
      <c r="F103" s="176"/>
      <c r="G103" s="178" t="n">
        <v>30</v>
      </c>
      <c r="H103" s="174"/>
    </row>
    <row r="104" customFormat="false" ht="15" hidden="false" customHeight="true" outlineLevel="0" collapsed="false">
      <c r="A104" s="139" t="s">
        <v>308</v>
      </c>
      <c r="B104" s="139" t="s">
        <v>109</v>
      </c>
      <c r="C104" s="139" t="s">
        <v>494</v>
      </c>
      <c r="D104" s="140" t="s">
        <v>480</v>
      </c>
      <c r="E104" s="140"/>
      <c r="F104" s="139" t="s">
        <v>202</v>
      </c>
      <c r="G104" s="142" t="n">
        <v>50</v>
      </c>
      <c r="H104" s="142" t="n">
        <v>0</v>
      </c>
    </row>
    <row r="105" customFormat="false" ht="15" hidden="false" customHeight="false" outlineLevel="0" collapsed="false">
      <c r="A105" s="174"/>
      <c r="B105" s="174"/>
      <c r="C105" s="174"/>
      <c r="D105" s="175" t="s">
        <v>328</v>
      </c>
      <c r="E105" s="176"/>
      <c r="F105" s="176"/>
      <c r="G105" s="178" t="n">
        <v>50</v>
      </c>
      <c r="H105" s="174"/>
    </row>
    <row r="106" customFormat="false" ht="15" hidden="false" customHeight="true" outlineLevel="0" collapsed="false">
      <c r="A106" s="139" t="s">
        <v>311</v>
      </c>
      <c r="B106" s="139" t="s">
        <v>109</v>
      </c>
      <c r="C106" s="139" t="s">
        <v>496</v>
      </c>
      <c r="D106" s="140" t="s">
        <v>497</v>
      </c>
      <c r="E106" s="140"/>
      <c r="F106" s="139" t="s">
        <v>202</v>
      </c>
      <c r="G106" s="142" t="n">
        <v>50</v>
      </c>
      <c r="H106" s="142" t="n">
        <v>0</v>
      </c>
    </row>
    <row r="107" customFormat="false" ht="15" hidden="false" customHeight="false" outlineLevel="0" collapsed="false">
      <c r="A107" s="174"/>
      <c r="B107" s="174"/>
      <c r="C107" s="174"/>
      <c r="D107" s="175" t="s">
        <v>328</v>
      </c>
      <c r="E107" s="176"/>
      <c r="F107" s="176"/>
      <c r="G107" s="178" t="n">
        <v>50</v>
      </c>
      <c r="H107" s="174"/>
    </row>
    <row r="108" customFormat="false" ht="15" hidden="false" customHeight="true" outlineLevel="0" collapsed="false">
      <c r="A108" s="134" t="s">
        <v>314</v>
      </c>
      <c r="B108" s="134" t="s">
        <v>109</v>
      </c>
      <c r="C108" s="134" t="s">
        <v>499</v>
      </c>
      <c r="D108" s="135" t="s">
        <v>500</v>
      </c>
      <c r="E108" s="135"/>
      <c r="F108" s="134" t="s">
        <v>169</v>
      </c>
      <c r="G108" s="137" t="n">
        <v>9.8</v>
      </c>
      <c r="H108" s="137" t="n">
        <v>0</v>
      </c>
    </row>
    <row r="109" customFormat="false" ht="15" hidden="false" customHeight="false" outlineLevel="0" collapsed="false">
      <c r="A109" s="174"/>
      <c r="B109" s="174"/>
      <c r="C109" s="174"/>
      <c r="D109" s="175" t="s">
        <v>721</v>
      </c>
      <c r="E109" s="176"/>
      <c r="F109" s="176"/>
      <c r="G109" s="177" t="n">
        <v>9.8</v>
      </c>
      <c r="H109" s="174"/>
    </row>
    <row r="110" customFormat="false" ht="15" hidden="false" customHeight="true" outlineLevel="0" collapsed="false">
      <c r="A110" s="139" t="s">
        <v>317</v>
      </c>
      <c r="B110" s="139" t="s">
        <v>109</v>
      </c>
      <c r="C110" s="139" t="s">
        <v>502</v>
      </c>
      <c r="D110" s="140" t="s">
        <v>503</v>
      </c>
      <c r="E110" s="140"/>
      <c r="F110" s="139" t="s">
        <v>325</v>
      </c>
      <c r="G110" s="142" t="n">
        <v>0.294</v>
      </c>
      <c r="H110" s="142" t="n">
        <v>0</v>
      </c>
    </row>
    <row r="111" customFormat="false" ht="15" hidden="false" customHeight="false" outlineLevel="0" collapsed="false">
      <c r="A111" s="174"/>
      <c r="B111" s="174"/>
      <c r="C111" s="174"/>
      <c r="D111" s="175" t="s">
        <v>722</v>
      </c>
      <c r="E111" s="176"/>
      <c r="F111" s="176"/>
      <c r="G111" s="178" t="n">
        <v>0.294</v>
      </c>
      <c r="H111" s="174"/>
    </row>
    <row r="112" customFormat="false" ht="15" hidden="false" customHeight="true" outlineLevel="0" collapsed="false">
      <c r="A112" s="134" t="s">
        <v>322</v>
      </c>
      <c r="B112" s="134" t="s">
        <v>109</v>
      </c>
      <c r="C112" s="134" t="s">
        <v>505</v>
      </c>
      <c r="D112" s="135" t="s">
        <v>506</v>
      </c>
      <c r="E112" s="135"/>
      <c r="F112" s="134" t="s">
        <v>169</v>
      </c>
      <c r="G112" s="137" t="n">
        <v>9.8</v>
      </c>
      <c r="H112" s="137" t="n">
        <v>0</v>
      </c>
    </row>
    <row r="113" customFormat="false" ht="15" hidden="false" customHeight="false" outlineLevel="0" collapsed="false">
      <c r="A113" s="174"/>
      <c r="B113" s="174"/>
      <c r="C113" s="174"/>
      <c r="D113" s="175" t="s">
        <v>721</v>
      </c>
      <c r="E113" s="176"/>
      <c r="F113" s="176"/>
      <c r="G113" s="177" t="n">
        <v>9.8</v>
      </c>
      <c r="H113" s="174"/>
    </row>
    <row r="114" customFormat="false" ht="15" hidden="false" customHeight="true" outlineLevel="0" collapsed="false">
      <c r="A114" s="134" t="s">
        <v>328</v>
      </c>
      <c r="B114" s="134" t="s">
        <v>109</v>
      </c>
      <c r="C114" s="134" t="s">
        <v>508</v>
      </c>
      <c r="D114" s="135" t="s">
        <v>509</v>
      </c>
      <c r="E114" s="135"/>
      <c r="F114" s="134" t="s">
        <v>169</v>
      </c>
      <c r="G114" s="137" t="n">
        <v>9.8</v>
      </c>
      <c r="H114" s="137" t="n">
        <v>0</v>
      </c>
    </row>
    <row r="115" customFormat="false" ht="15" hidden="false" customHeight="false" outlineLevel="0" collapsed="false">
      <c r="A115" s="174"/>
      <c r="B115" s="174"/>
      <c r="C115" s="174"/>
      <c r="D115" s="175" t="s">
        <v>721</v>
      </c>
      <c r="E115" s="176"/>
      <c r="F115" s="176"/>
      <c r="G115" s="177" t="n">
        <v>9.8</v>
      </c>
      <c r="H115" s="174"/>
    </row>
    <row r="116" customFormat="false" ht="15" hidden="false" customHeight="true" outlineLevel="0" collapsed="false">
      <c r="A116" s="134" t="s">
        <v>331</v>
      </c>
      <c r="B116" s="134" t="s">
        <v>109</v>
      </c>
      <c r="C116" s="134" t="s">
        <v>511</v>
      </c>
      <c r="D116" s="135" t="s">
        <v>512</v>
      </c>
      <c r="E116" s="135"/>
      <c r="F116" s="134" t="s">
        <v>169</v>
      </c>
      <c r="G116" s="137" t="n">
        <v>9.8</v>
      </c>
      <c r="H116" s="137" t="n">
        <v>0</v>
      </c>
    </row>
    <row r="117" customFormat="false" ht="15" hidden="false" customHeight="false" outlineLevel="0" collapsed="false">
      <c r="A117" s="174"/>
      <c r="B117" s="174"/>
      <c r="C117" s="174"/>
      <c r="D117" s="175" t="s">
        <v>721</v>
      </c>
      <c r="E117" s="176"/>
      <c r="F117" s="176"/>
      <c r="G117" s="177" t="n">
        <v>9.8</v>
      </c>
      <c r="H117" s="174"/>
    </row>
    <row r="118" customFormat="false" ht="24.05" hidden="false" customHeight="true" outlineLevel="0" collapsed="false">
      <c r="A118" s="134" t="s">
        <v>333</v>
      </c>
      <c r="B118" s="134" t="s">
        <v>109</v>
      </c>
      <c r="C118" s="134" t="s">
        <v>365</v>
      </c>
      <c r="D118" s="135" t="s">
        <v>366</v>
      </c>
      <c r="E118" s="135"/>
      <c r="F118" s="134" t="s">
        <v>169</v>
      </c>
      <c r="G118" s="137" t="n">
        <v>19.6</v>
      </c>
      <c r="H118" s="137" t="n">
        <v>0</v>
      </c>
    </row>
    <row r="119" customFormat="false" ht="15" hidden="false" customHeight="false" outlineLevel="0" collapsed="false">
      <c r="A119" s="174"/>
      <c r="B119" s="174"/>
      <c r="C119" s="174"/>
      <c r="D119" s="175" t="s">
        <v>723</v>
      </c>
      <c r="E119" s="176"/>
      <c r="F119" s="176"/>
      <c r="G119" s="177" t="n">
        <v>19.6</v>
      </c>
      <c r="H119" s="174"/>
    </row>
    <row r="120" customFormat="false" ht="15" hidden="false" customHeight="true" outlineLevel="0" collapsed="false">
      <c r="A120" s="139" t="s">
        <v>338</v>
      </c>
      <c r="B120" s="139" t="s">
        <v>109</v>
      </c>
      <c r="C120" s="139" t="s">
        <v>370</v>
      </c>
      <c r="D120" s="140" t="s">
        <v>371</v>
      </c>
      <c r="E120" s="140"/>
      <c r="F120" s="139" t="s">
        <v>372</v>
      </c>
      <c r="G120" s="142" t="n">
        <v>0.001</v>
      </c>
      <c r="H120" s="142" t="n">
        <v>0</v>
      </c>
    </row>
    <row r="121" customFormat="false" ht="15" hidden="false" customHeight="false" outlineLevel="0" collapsed="false">
      <c r="A121" s="174"/>
      <c r="B121" s="174"/>
      <c r="C121" s="174"/>
      <c r="D121" s="175" t="s">
        <v>724</v>
      </c>
      <c r="E121" s="176"/>
      <c r="F121" s="176"/>
      <c r="G121" s="178" t="n">
        <v>0.001</v>
      </c>
      <c r="H121" s="174"/>
    </row>
    <row r="122" customFormat="false" ht="15" hidden="false" customHeight="false" outlineLevel="0" collapsed="false">
      <c r="A122" s="139"/>
      <c r="B122" s="139"/>
      <c r="C122" s="139"/>
      <c r="D122" s="175" t="s">
        <v>725</v>
      </c>
      <c r="E122" s="176"/>
      <c r="F122" s="176"/>
      <c r="G122" s="178" t="n">
        <v>0</v>
      </c>
      <c r="H122" s="143"/>
    </row>
    <row r="123" customFormat="false" ht="15" hidden="false" customHeight="true" outlineLevel="0" collapsed="false">
      <c r="A123" s="134" t="s">
        <v>343</v>
      </c>
      <c r="B123" s="134" t="s">
        <v>109</v>
      </c>
      <c r="C123" s="134" t="s">
        <v>410</v>
      </c>
      <c r="D123" s="135" t="s">
        <v>411</v>
      </c>
      <c r="E123" s="135"/>
      <c r="F123" s="134" t="s">
        <v>189</v>
      </c>
      <c r="G123" s="137" t="n">
        <v>0.196</v>
      </c>
      <c r="H123" s="137" t="n">
        <v>0</v>
      </c>
    </row>
    <row r="124" customFormat="false" ht="15" hidden="false" customHeight="false" outlineLevel="0" collapsed="false">
      <c r="A124" s="174"/>
      <c r="B124" s="174"/>
      <c r="C124" s="174"/>
      <c r="D124" s="175" t="s">
        <v>726</v>
      </c>
      <c r="E124" s="176"/>
      <c r="F124" s="176"/>
      <c r="G124" s="177" t="n">
        <v>0.196</v>
      </c>
      <c r="H124" s="174"/>
    </row>
    <row r="125" customFormat="false" ht="15" hidden="false" customHeight="true" outlineLevel="0" collapsed="false">
      <c r="A125" s="134" t="s">
        <v>348</v>
      </c>
      <c r="B125" s="134" t="s">
        <v>109</v>
      </c>
      <c r="C125" s="134" t="s">
        <v>413</v>
      </c>
      <c r="D125" s="135" t="s">
        <v>414</v>
      </c>
      <c r="E125" s="135"/>
      <c r="F125" s="134" t="s">
        <v>189</v>
      </c>
      <c r="G125" s="137" t="n">
        <v>0.196</v>
      </c>
      <c r="H125" s="137" t="n">
        <v>0</v>
      </c>
    </row>
    <row r="126" customFormat="false" ht="15" hidden="false" customHeight="false" outlineLevel="0" collapsed="false">
      <c r="A126" s="174"/>
      <c r="B126" s="174"/>
      <c r="C126" s="174"/>
      <c r="D126" s="175" t="s">
        <v>727</v>
      </c>
      <c r="E126" s="176"/>
      <c r="F126" s="176"/>
      <c r="G126" s="177" t="n">
        <v>0.196</v>
      </c>
      <c r="H126" s="174"/>
    </row>
    <row r="127" customFormat="false" ht="15" hidden="false" customHeight="true" outlineLevel="0" collapsed="false">
      <c r="A127" s="134" t="s">
        <v>352</v>
      </c>
      <c r="B127" s="134" t="s">
        <v>109</v>
      </c>
      <c r="C127" s="134" t="s">
        <v>518</v>
      </c>
      <c r="D127" s="135" t="s">
        <v>519</v>
      </c>
      <c r="E127" s="135"/>
      <c r="F127" s="134" t="s">
        <v>169</v>
      </c>
      <c r="G127" s="137" t="n">
        <v>9.8</v>
      </c>
      <c r="H127" s="137" t="n">
        <v>0</v>
      </c>
    </row>
    <row r="128" customFormat="false" ht="15" hidden="false" customHeight="false" outlineLevel="0" collapsed="false">
      <c r="A128" s="174"/>
      <c r="B128" s="174"/>
      <c r="C128" s="174"/>
      <c r="D128" s="175" t="s">
        <v>721</v>
      </c>
      <c r="E128" s="176"/>
      <c r="F128" s="176"/>
      <c r="G128" s="177" t="n">
        <v>9.8</v>
      </c>
      <c r="H128" s="174"/>
    </row>
    <row r="129" customFormat="false" ht="15" hidden="false" customHeight="true" outlineLevel="0" collapsed="false">
      <c r="A129" s="139" t="s">
        <v>355</v>
      </c>
      <c r="B129" s="139" t="s">
        <v>109</v>
      </c>
      <c r="C129" s="139" t="s">
        <v>521</v>
      </c>
      <c r="D129" s="140" t="s">
        <v>522</v>
      </c>
      <c r="E129" s="140"/>
      <c r="F129" s="139" t="s">
        <v>179</v>
      </c>
      <c r="G129" s="142" t="n">
        <v>1.725</v>
      </c>
      <c r="H129" s="142" t="n">
        <v>0</v>
      </c>
    </row>
    <row r="130" customFormat="false" ht="15" hidden="false" customHeight="false" outlineLevel="0" collapsed="false">
      <c r="A130" s="174"/>
      <c r="B130" s="174"/>
      <c r="C130" s="174"/>
      <c r="D130" s="175" t="s">
        <v>728</v>
      </c>
      <c r="E130" s="176"/>
      <c r="F130" s="176"/>
      <c r="G130" s="178" t="n">
        <v>1.568</v>
      </c>
      <c r="H130" s="174"/>
    </row>
    <row r="131" customFormat="false" ht="15" hidden="false" customHeight="false" outlineLevel="0" collapsed="false">
      <c r="A131" s="139"/>
      <c r="B131" s="139"/>
      <c r="C131" s="139"/>
      <c r="D131" s="175" t="s">
        <v>729</v>
      </c>
      <c r="E131" s="176"/>
      <c r="F131" s="176"/>
      <c r="G131" s="178" t="n">
        <v>0.157</v>
      </c>
      <c r="H131" s="143"/>
    </row>
    <row r="132" customFormat="false" ht="15" hidden="false" customHeight="true" outlineLevel="0" collapsed="false">
      <c r="A132" s="134" t="s">
        <v>358</v>
      </c>
      <c r="B132" s="134" t="s">
        <v>109</v>
      </c>
      <c r="C132" s="134" t="s">
        <v>524</v>
      </c>
      <c r="D132" s="135" t="s">
        <v>525</v>
      </c>
      <c r="E132" s="135"/>
      <c r="F132" s="134" t="s">
        <v>179</v>
      </c>
      <c r="G132" s="137" t="n">
        <v>6.919</v>
      </c>
      <c r="H132" s="137" t="n">
        <v>0</v>
      </c>
    </row>
    <row r="133" customFormat="false" ht="15" hidden="false" customHeight="false" outlineLevel="0" collapsed="false">
      <c r="A133" s="174"/>
      <c r="B133" s="174"/>
      <c r="C133" s="174"/>
      <c r="D133" s="175" t="s">
        <v>730</v>
      </c>
      <c r="E133" s="176"/>
      <c r="F133" s="176"/>
      <c r="G133" s="177" t="n">
        <v>6.919</v>
      </c>
      <c r="H133" s="174"/>
    </row>
    <row r="134" customFormat="false" ht="15" hidden="false" customHeight="true" outlineLevel="0" collapsed="false">
      <c r="A134" s="134" t="s">
        <v>274</v>
      </c>
      <c r="B134" s="134" t="s">
        <v>109</v>
      </c>
      <c r="C134" s="134" t="s">
        <v>410</v>
      </c>
      <c r="D134" s="135" t="s">
        <v>529</v>
      </c>
      <c r="E134" s="135"/>
      <c r="F134" s="134" t="s">
        <v>189</v>
      </c>
      <c r="G134" s="137" t="n">
        <v>3.37</v>
      </c>
      <c r="H134" s="137" t="n">
        <v>0</v>
      </c>
    </row>
    <row r="135" customFormat="false" ht="15" hidden="false" customHeight="false" outlineLevel="0" collapsed="false">
      <c r="A135" s="174"/>
      <c r="B135" s="174"/>
      <c r="C135" s="174"/>
      <c r="D135" s="175" t="s">
        <v>731</v>
      </c>
      <c r="E135" s="176" t="s">
        <v>732</v>
      </c>
      <c r="F135" s="176"/>
      <c r="G135" s="177" t="n">
        <v>3.37</v>
      </c>
      <c r="H135" s="174"/>
    </row>
    <row r="136" customFormat="false" ht="15" hidden="false" customHeight="true" outlineLevel="0" collapsed="false">
      <c r="A136" s="134" t="s">
        <v>363</v>
      </c>
      <c r="B136" s="134" t="s">
        <v>109</v>
      </c>
      <c r="C136" s="134" t="s">
        <v>410</v>
      </c>
      <c r="D136" s="135" t="s">
        <v>532</v>
      </c>
      <c r="E136" s="135"/>
      <c r="F136" s="134" t="s">
        <v>189</v>
      </c>
      <c r="G136" s="137" t="n">
        <v>3.528</v>
      </c>
      <c r="H136" s="137" t="n">
        <v>0</v>
      </c>
    </row>
    <row r="137" customFormat="false" ht="15" hidden="false" customHeight="false" outlineLevel="0" collapsed="false">
      <c r="A137" s="174"/>
      <c r="B137" s="174"/>
      <c r="C137" s="174"/>
      <c r="D137" s="175" t="s">
        <v>733</v>
      </c>
      <c r="E137" s="176" t="s">
        <v>734</v>
      </c>
      <c r="F137" s="176"/>
      <c r="G137" s="177" t="n">
        <v>3.528</v>
      </c>
      <c r="H137" s="174"/>
    </row>
    <row r="138" customFormat="false" ht="15" hidden="false" customHeight="true" outlineLevel="0" collapsed="false">
      <c r="A138" s="134" t="s">
        <v>364</v>
      </c>
      <c r="B138" s="134" t="s">
        <v>109</v>
      </c>
      <c r="C138" s="134" t="s">
        <v>413</v>
      </c>
      <c r="D138" s="135" t="s">
        <v>534</v>
      </c>
      <c r="E138" s="135"/>
      <c r="F138" s="134" t="s">
        <v>189</v>
      </c>
      <c r="G138" s="137" t="n">
        <v>6.898</v>
      </c>
      <c r="H138" s="137" t="n">
        <v>0</v>
      </c>
    </row>
    <row r="139" customFormat="false" ht="15" hidden="false" customHeight="false" outlineLevel="0" collapsed="false">
      <c r="A139" s="174"/>
      <c r="B139" s="174"/>
      <c r="C139" s="174"/>
      <c r="D139" s="175" t="s">
        <v>735</v>
      </c>
      <c r="E139" s="176"/>
      <c r="F139" s="176"/>
      <c r="G139" s="177" t="n">
        <v>6.898</v>
      </c>
      <c r="H139" s="174"/>
    </row>
    <row r="140" customFormat="false" ht="15" hidden="false" customHeight="true" outlineLevel="0" collapsed="false">
      <c r="A140" s="134" t="s">
        <v>369</v>
      </c>
      <c r="B140" s="134" t="s">
        <v>109</v>
      </c>
      <c r="C140" s="134" t="s">
        <v>536</v>
      </c>
      <c r="D140" s="135" t="s">
        <v>537</v>
      </c>
      <c r="E140" s="135"/>
      <c r="F140" s="134" t="s">
        <v>169</v>
      </c>
      <c r="G140" s="137" t="n">
        <v>67.4</v>
      </c>
      <c r="H140" s="137" t="n">
        <v>0</v>
      </c>
    </row>
    <row r="141" customFormat="false" ht="15" hidden="false" customHeight="false" outlineLevel="0" collapsed="false">
      <c r="A141" s="174"/>
      <c r="B141" s="174"/>
      <c r="C141" s="174"/>
      <c r="D141" s="175" t="s">
        <v>708</v>
      </c>
      <c r="E141" s="176"/>
      <c r="F141" s="176"/>
      <c r="G141" s="177" t="n">
        <v>67.4</v>
      </c>
      <c r="H141" s="174"/>
    </row>
    <row r="142" customFormat="false" ht="15" hidden="false" customHeight="true" outlineLevel="0" collapsed="false">
      <c r="A142" s="134" t="s">
        <v>373</v>
      </c>
      <c r="B142" s="134" t="s">
        <v>109</v>
      </c>
      <c r="C142" s="134" t="s">
        <v>539</v>
      </c>
      <c r="D142" s="135" t="s">
        <v>540</v>
      </c>
      <c r="E142" s="135"/>
      <c r="F142" s="134" t="s">
        <v>169</v>
      </c>
      <c r="G142" s="137" t="n">
        <v>67.4</v>
      </c>
      <c r="H142" s="137" t="n">
        <v>0</v>
      </c>
    </row>
    <row r="143" customFormat="false" ht="15" hidden="false" customHeight="false" outlineLevel="0" collapsed="false">
      <c r="A143" s="174"/>
      <c r="B143" s="174"/>
      <c r="C143" s="174"/>
      <c r="D143" s="175" t="s">
        <v>736</v>
      </c>
      <c r="E143" s="176"/>
      <c r="F143" s="176"/>
      <c r="G143" s="177" t="n">
        <v>67.4</v>
      </c>
      <c r="H143" s="174"/>
    </row>
    <row r="144" customFormat="false" ht="15" hidden="false" customHeight="true" outlineLevel="0" collapsed="false">
      <c r="A144" s="134" t="s">
        <v>376</v>
      </c>
      <c r="B144" s="134" t="s">
        <v>109</v>
      </c>
      <c r="C144" s="134" t="s">
        <v>542</v>
      </c>
      <c r="D144" s="135" t="s">
        <v>543</v>
      </c>
      <c r="E144" s="135"/>
      <c r="F144" s="134" t="s">
        <v>169</v>
      </c>
      <c r="G144" s="137" t="n">
        <v>67.4</v>
      </c>
      <c r="H144" s="137" t="n">
        <v>0</v>
      </c>
    </row>
    <row r="145" customFormat="false" ht="15" hidden="false" customHeight="false" outlineLevel="0" collapsed="false">
      <c r="A145" s="174"/>
      <c r="B145" s="174"/>
      <c r="C145" s="174"/>
      <c r="D145" s="175" t="s">
        <v>736</v>
      </c>
      <c r="E145" s="176"/>
      <c r="F145" s="176"/>
      <c r="G145" s="177" t="n">
        <v>67.4</v>
      </c>
      <c r="H145" s="174"/>
    </row>
    <row r="146" customFormat="false" ht="15" hidden="false" customHeight="true" outlineLevel="0" collapsed="false">
      <c r="A146" s="134" t="s">
        <v>379</v>
      </c>
      <c r="B146" s="134" t="s">
        <v>109</v>
      </c>
      <c r="C146" s="134" t="s">
        <v>545</v>
      </c>
      <c r="D146" s="135" t="s">
        <v>546</v>
      </c>
      <c r="E146" s="135"/>
      <c r="F146" s="134" t="s">
        <v>547</v>
      </c>
      <c r="G146" s="137" t="n">
        <v>0.005</v>
      </c>
      <c r="H146" s="137" t="n">
        <v>0</v>
      </c>
    </row>
    <row r="147" customFormat="false" ht="15" hidden="false" customHeight="false" outlineLevel="0" collapsed="false">
      <c r="A147" s="174"/>
      <c r="B147" s="174"/>
      <c r="C147" s="174"/>
      <c r="D147" s="175" t="s">
        <v>737</v>
      </c>
      <c r="E147" s="176"/>
      <c r="F147" s="176"/>
      <c r="G147" s="177" t="n">
        <v>0.005</v>
      </c>
      <c r="H147" s="174"/>
    </row>
    <row r="149" customFormat="false" ht="15" hidden="false" customHeight="false" outlineLevel="0" collapsed="false">
      <c r="A149" s="1"/>
    </row>
    <row r="150" customFormat="false" ht="15" hidden="true" customHeight="false" outlineLevel="0" collapsed="false">
      <c r="A150" s="9"/>
      <c r="B150" s="9"/>
      <c r="C150" s="9"/>
      <c r="D150" s="9"/>
      <c r="E150" s="9"/>
      <c r="F150" s="9"/>
      <c r="G150" s="9"/>
    </row>
  </sheetData>
  <mergeCells count="156">
    <mergeCell ref="A1:H1"/>
    <mergeCell ref="A2:B3"/>
    <mergeCell ref="C2:D3"/>
    <mergeCell ref="E2:E3"/>
    <mergeCell ref="F2:H3"/>
    <mergeCell ref="A4:B5"/>
    <mergeCell ref="C4:D5"/>
    <mergeCell ref="E4:E5"/>
    <mergeCell ref="F4:H5"/>
    <mergeCell ref="A6:B7"/>
    <mergeCell ref="C6:D7"/>
    <mergeCell ref="E6:E7"/>
    <mergeCell ref="F6:H7"/>
    <mergeCell ref="A8:B9"/>
    <mergeCell ref="C8:D9"/>
    <mergeCell ref="E8:E9"/>
    <mergeCell ref="F8:H9"/>
    <mergeCell ref="D10:E10"/>
    <mergeCell ref="D11:E11"/>
    <mergeCell ref="D12:E12"/>
    <mergeCell ref="D13:E13"/>
    <mergeCell ref="D14:E14"/>
    <mergeCell ref="E15:F15"/>
    <mergeCell ref="D16:E16"/>
    <mergeCell ref="E17:F17"/>
    <mergeCell ref="E18:F18"/>
    <mergeCell ref="D19:E19"/>
    <mergeCell ref="E20:F20"/>
    <mergeCell ref="D21:E21"/>
    <mergeCell ref="E22:F22"/>
    <mergeCell ref="D23:E23"/>
    <mergeCell ref="E24:F24"/>
    <mergeCell ref="D25:E25"/>
    <mergeCell ref="E26:F26"/>
    <mergeCell ref="D27:E27"/>
    <mergeCell ref="E28:F28"/>
    <mergeCell ref="D29:E29"/>
    <mergeCell ref="E30:F30"/>
    <mergeCell ref="D31:E31"/>
    <mergeCell ref="E32:F32"/>
    <mergeCell ref="D33:E33"/>
    <mergeCell ref="E34:F34"/>
    <mergeCell ref="D35:E35"/>
    <mergeCell ref="E36:F36"/>
    <mergeCell ref="D37:E37"/>
    <mergeCell ref="E38:F38"/>
    <mergeCell ref="E39:F39"/>
    <mergeCell ref="D40:E40"/>
    <mergeCell ref="E41:F41"/>
    <mergeCell ref="D42:E42"/>
    <mergeCell ref="E43:F43"/>
    <mergeCell ref="D44:E44"/>
    <mergeCell ref="E45:F45"/>
    <mergeCell ref="D46:E46"/>
    <mergeCell ref="E47:F47"/>
    <mergeCell ref="D48:E48"/>
    <mergeCell ref="E49:F49"/>
    <mergeCell ref="D50:E50"/>
    <mergeCell ref="E51:F51"/>
    <mergeCell ref="D52:E52"/>
    <mergeCell ref="E53:F53"/>
    <mergeCell ref="D54:E54"/>
    <mergeCell ref="E55:F55"/>
    <mergeCell ref="D56:E56"/>
    <mergeCell ref="E57:F57"/>
    <mergeCell ref="D58:E58"/>
    <mergeCell ref="E59:F59"/>
    <mergeCell ref="D60:E60"/>
    <mergeCell ref="E61:F61"/>
    <mergeCell ref="D62:E62"/>
    <mergeCell ref="E63:F63"/>
    <mergeCell ref="D64:E64"/>
    <mergeCell ref="E65:F65"/>
    <mergeCell ref="D66:E66"/>
    <mergeCell ref="E67:F67"/>
    <mergeCell ref="D68:E68"/>
    <mergeCell ref="E69:F69"/>
    <mergeCell ref="D70:E70"/>
    <mergeCell ref="E71:F71"/>
    <mergeCell ref="D72:E72"/>
    <mergeCell ref="E73:F73"/>
    <mergeCell ref="D74:E74"/>
    <mergeCell ref="E75:F75"/>
    <mergeCell ref="D76:E76"/>
    <mergeCell ref="E77:F77"/>
    <mergeCell ref="D78:E78"/>
    <mergeCell ref="E79:F79"/>
    <mergeCell ref="D80:E80"/>
    <mergeCell ref="E81:F81"/>
    <mergeCell ref="D82:E82"/>
    <mergeCell ref="E83:F83"/>
    <mergeCell ref="D84:E84"/>
    <mergeCell ref="E85:F85"/>
    <mergeCell ref="D86:E86"/>
    <mergeCell ref="E87:F87"/>
    <mergeCell ref="D88:E88"/>
    <mergeCell ref="E89:F89"/>
    <mergeCell ref="D90:E90"/>
    <mergeCell ref="E91:F91"/>
    <mergeCell ref="D92:E92"/>
    <mergeCell ref="E93:F93"/>
    <mergeCell ref="D94:E94"/>
    <mergeCell ref="E95:F95"/>
    <mergeCell ref="D96:E96"/>
    <mergeCell ref="E97:F97"/>
    <mergeCell ref="D98:E98"/>
    <mergeCell ref="E99:F99"/>
    <mergeCell ref="D100:E100"/>
    <mergeCell ref="E101:F101"/>
    <mergeCell ref="D102:E102"/>
    <mergeCell ref="E103:F103"/>
    <mergeCell ref="D104:E104"/>
    <mergeCell ref="E105:F105"/>
    <mergeCell ref="D106:E106"/>
    <mergeCell ref="E107:F107"/>
    <mergeCell ref="D108:E108"/>
    <mergeCell ref="E109:F109"/>
    <mergeCell ref="D110:E110"/>
    <mergeCell ref="E111:F111"/>
    <mergeCell ref="D112:E112"/>
    <mergeCell ref="E113:F113"/>
    <mergeCell ref="D114:E114"/>
    <mergeCell ref="E115:F115"/>
    <mergeCell ref="D116:E116"/>
    <mergeCell ref="E117:F117"/>
    <mergeCell ref="D118:E118"/>
    <mergeCell ref="E119:F119"/>
    <mergeCell ref="D120:E120"/>
    <mergeCell ref="E121:F121"/>
    <mergeCell ref="E122:F122"/>
    <mergeCell ref="D123:E123"/>
    <mergeCell ref="E124:F124"/>
    <mergeCell ref="D125:E125"/>
    <mergeCell ref="E126:F126"/>
    <mergeCell ref="D127:E127"/>
    <mergeCell ref="E128:F128"/>
    <mergeCell ref="D129:E129"/>
    <mergeCell ref="E130:F130"/>
    <mergeCell ref="E131:F131"/>
    <mergeCell ref="D132:E132"/>
    <mergeCell ref="E133:F133"/>
    <mergeCell ref="D134:E134"/>
    <mergeCell ref="E135:F135"/>
    <mergeCell ref="D136:E136"/>
    <mergeCell ref="E137:F137"/>
    <mergeCell ref="D138:E138"/>
    <mergeCell ref="E139:F139"/>
    <mergeCell ref="D140:E140"/>
    <mergeCell ref="E141:F141"/>
    <mergeCell ref="D142:E142"/>
    <mergeCell ref="E143:F143"/>
    <mergeCell ref="D144:E144"/>
    <mergeCell ref="E145:F145"/>
    <mergeCell ref="D146:E146"/>
    <mergeCell ref="E147:F147"/>
    <mergeCell ref="A150:G150"/>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I7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36" activeCellId="0" sqref="C36"/>
    </sheetView>
  </sheetViews>
  <sheetFormatPr defaultColWidth="12.1484375" defaultRowHeight="15" customHeight="true" zeroHeight="false" outlineLevelRow="0" outlineLevelCol="0"/>
  <cols>
    <col collapsed="false" customWidth="true" hidden="false" outlineLevel="0" max="1" min="1" style="22" width="18.22"/>
    <col collapsed="false" customWidth="true" hidden="false" outlineLevel="0" max="2" min="2" style="22" width="12.86"/>
    <col collapsed="false" customWidth="true" hidden="false" outlineLevel="0" max="3" min="3" style="22" width="27.15"/>
    <col collapsed="false" customWidth="true" hidden="false" outlineLevel="0" max="4" min="4" style="22" width="18.22"/>
    <col collapsed="false" customWidth="true" hidden="false" outlineLevel="0" max="5" min="5" style="22" width="14"/>
    <col collapsed="false" customWidth="true" hidden="false" outlineLevel="0" max="6" min="6" style="22" width="27.15"/>
    <col collapsed="false" customWidth="true" hidden="false" outlineLevel="0" max="7" min="7" style="22" width="17.88"/>
    <col collapsed="false" customWidth="true" hidden="false" outlineLevel="0" max="8" min="8" style="22" width="12.86"/>
    <col collapsed="false" customWidth="true" hidden="false" outlineLevel="0" max="9" min="9" style="22" width="27.15"/>
  </cols>
  <sheetData>
    <row r="1" customFormat="false" ht="39.7" hidden="false" customHeight="true" outlineLevel="0" collapsed="false">
      <c r="A1" s="23" t="s">
        <v>31</v>
      </c>
      <c r="B1" s="23"/>
      <c r="C1" s="23"/>
      <c r="D1" s="23"/>
      <c r="E1" s="23"/>
      <c r="F1" s="23"/>
      <c r="G1" s="23"/>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151</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2" customFormat="false" ht="22.05" hidden="false" customHeight="false" outlineLevel="0" collapsed="false">
      <c r="A12" s="25" t="s">
        <v>32</v>
      </c>
      <c r="B12" s="25"/>
      <c r="C12" s="25"/>
      <c r="D12" s="25"/>
      <c r="E12" s="25"/>
      <c r="F12" s="25"/>
      <c r="G12" s="25"/>
      <c r="H12" s="25"/>
      <c r="I12" s="25"/>
    </row>
    <row r="13" customFormat="false" ht="26.25" hidden="false" customHeight="true" outlineLevel="0" collapsed="false">
      <c r="A13" s="26" t="s">
        <v>33</v>
      </c>
      <c r="B13" s="27" t="s">
        <v>34</v>
      </c>
      <c r="C13" s="27"/>
      <c r="D13" s="28" t="s">
        <v>35</v>
      </c>
      <c r="E13" s="27" t="s">
        <v>36</v>
      </c>
      <c r="F13" s="27"/>
      <c r="G13" s="28"/>
      <c r="H13" s="27"/>
      <c r="I13" s="27"/>
    </row>
    <row r="14" customFormat="false" ht="15" hidden="false" customHeight="false" outlineLevel="0" collapsed="false">
      <c r="A14" s="29" t="s">
        <v>37</v>
      </c>
      <c r="B14" s="30" t="s">
        <v>38</v>
      </c>
      <c r="C14" s="31" t="n">
        <f aca="false">SUM('Stavební rozpočet'!AB12:AB374)</f>
        <v>0</v>
      </c>
      <c r="D14" s="30" t="s">
        <v>39</v>
      </c>
      <c r="E14" s="30"/>
      <c r="F14" s="31" t="n">
        <f aca="false">VORN!I15</f>
        <v>0</v>
      </c>
      <c r="G14" s="30"/>
      <c r="H14" s="30"/>
      <c r="I14" s="31" t="n">
        <f aca="false">VORN!I21</f>
        <v>0</v>
      </c>
    </row>
    <row r="15" customFormat="false" ht="15" hidden="false" customHeight="false" outlineLevel="0" collapsed="false">
      <c r="A15" s="32"/>
      <c r="B15" s="30" t="s">
        <v>40</v>
      </c>
      <c r="C15" s="31" t="n">
        <f aca="false">SUM('Stavební rozpočet'!AC12:AC374)</f>
        <v>0</v>
      </c>
      <c r="D15" s="30" t="s">
        <v>41</v>
      </c>
      <c r="E15" s="30"/>
      <c r="F15" s="31" t="n">
        <f aca="false">VORN!I16</f>
        <v>0</v>
      </c>
      <c r="G15" s="30"/>
      <c r="H15" s="30"/>
      <c r="I15" s="31" t="n">
        <f aca="false">VORN!I22</f>
        <v>0</v>
      </c>
    </row>
    <row r="16" customFormat="false" ht="15" hidden="false" customHeight="false" outlineLevel="0" collapsed="false">
      <c r="A16" s="29" t="s">
        <v>42</v>
      </c>
      <c r="B16" s="30" t="s">
        <v>38</v>
      </c>
      <c r="C16" s="31" t="n">
        <f aca="false">SUM('Stavební rozpočet'!AD12:AD374)</f>
        <v>0</v>
      </c>
      <c r="D16" s="30" t="s">
        <v>43</v>
      </c>
      <c r="E16" s="30"/>
      <c r="F16" s="31" t="n">
        <f aca="false">VORN!I17</f>
        <v>0</v>
      </c>
      <c r="G16" s="30"/>
      <c r="H16" s="30"/>
      <c r="I16" s="31" t="n">
        <f aca="false">VORN!I23</f>
        <v>0</v>
      </c>
    </row>
    <row r="17" customFormat="false" ht="15" hidden="false" customHeight="false" outlineLevel="0" collapsed="false">
      <c r="A17" s="32"/>
      <c r="B17" s="30" t="s">
        <v>40</v>
      </c>
      <c r="C17" s="31" t="n">
        <f aca="false">SUM('Stavební rozpočet'!AE12:AE374)</f>
        <v>0</v>
      </c>
      <c r="D17" s="30"/>
      <c r="E17" s="30"/>
      <c r="F17" s="33"/>
      <c r="G17" s="30"/>
      <c r="H17" s="30"/>
      <c r="I17" s="31" t="n">
        <f aca="false">VORN!I24</f>
        <v>0</v>
      </c>
    </row>
    <row r="18" customFormat="false" ht="15" hidden="false" customHeight="false" outlineLevel="0" collapsed="false">
      <c r="A18" s="29" t="s">
        <v>44</v>
      </c>
      <c r="B18" s="30" t="s">
        <v>38</v>
      </c>
      <c r="C18" s="31" t="n">
        <f aca="false">SUM('Stavební rozpočet'!AF12:AF374)</f>
        <v>0</v>
      </c>
      <c r="D18" s="30"/>
      <c r="E18" s="30"/>
      <c r="F18" s="33"/>
      <c r="G18" s="30"/>
      <c r="H18" s="30"/>
      <c r="I18" s="31" t="n">
        <f aca="false">VORN!I25</f>
        <v>0</v>
      </c>
    </row>
    <row r="19" customFormat="false" ht="15" hidden="false" customHeight="false" outlineLevel="0" collapsed="false">
      <c r="A19" s="32"/>
      <c r="B19" s="30" t="s">
        <v>40</v>
      </c>
      <c r="C19" s="31" t="n">
        <f aca="false">SUM('Stavební rozpočet'!AG12:AG374)</f>
        <v>0</v>
      </c>
      <c r="D19" s="30"/>
      <c r="E19" s="30"/>
      <c r="F19" s="33"/>
      <c r="G19" s="30"/>
      <c r="H19" s="30"/>
      <c r="I19" s="31" t="n">
        <f aca="false">VORN!I26</f>
        <v>0</v>
      </c>
    </row>
    <row r="20" customFormat="false" ht="15" hidden="false" customHeight="false" outlineLevel="0" collapsed="false">
      <c r="A20" s="32" t="s">
        <v>45</v>
      </c>
      <c r="B20" s="32"/>
      <c r="C20" s="31" t="n">
        <f aca="false">SUM('Stavební rozpočet'!AH12:AH374)</f>
        <v>0</v>
      </c>
      <c r="D20" s="30"/>
      <c r="E20" s="30"/>
      <c r="F20" s="33"/>
      <c r="G20" s="30"/>
      <c r="H20" s="30"/>
      <c r="I20" s="33"/>
    </row>
    <row r="21" customFormat="false" ht="15" hidden="false" customHeight="false" outlineLevel="0" collapsed="false">
      <c r="A21" s="29" t="s">
        <v>46</v>
      </c>
      <c r="B21" s="29"/>
      <c r="C21" s="34" t="n">
        <f aca="false">SUM('Stavební rozpočet'!Z12:Z374)</f>
        <v>0</v>
      </c>
      <c r="D21" s="35"/>
      <c r="E21" s="35"/>
      <c r="F21" s="36"/>
      <c r="G21" s="35"/>
      <c r="H21" s="35"/>
      <c r="I21" s="36"/>
    </row>
    <row r="22" customFormat="false" ht="16.5" hidden="false" customHeight="true" outlineLevel="0" collapsed="false">
      <c r="A22" s="37" t="s">
        <v>47</v>
      </c>
      <c r="B22" s="37"/>
      <c r="C22" s="38" t="n">
        <f aca="false">ROUND(SUM(C14:C21),1)</f>
        <v>0</v>
      </c>
      <c r="D22" s="39" t="s">
        <v>48</v>
      </c>
      <c r="E22" s="39"/>
      <c r="F22" s="38" t="n">
        <f aca="false">SUM(F14:F21)</f>
        <v>0</v>
      </c>
      <c r="G22" s="39"/>
      <c r="H22" s="39"/>
      <c r="I22" s="38" t="n">
        <f aca="false">SUM(I14:I21)</f>
        <v>0</v>
      </c>
    </row>
    <row r="23" customFormat="false" ht="15" hidden="false" customHeight="false" outlineLevel="0" collapsed="false">
      <c r="D23" s="32" t="s">
        <v>49</v>
      </c>
      <c r="E23" s="32"/>
      <c r="F23" s="31" t="n">
        <f aca="false">'Krycí list rozpočtu (SO01.10)'!F22+'Krycí list rozpočtu (SO01.11)'!F22+'Krycí list rozpočtu (SO01.12)'!F22+'Krycí list rozpočtu (SO01.13)'!F22+'Krycí list rozpočtu (VORN)'!F22</f>
        <v>0</v>
      </c>
      <c r="G23" s="40"/>
      <c r="H23" s="40"/>
      <c r="I23" s="31" t="n">
        <f aca="false">'Krycí list rozpočtu (SO01.10)'!I22+'Krycí list rozpočtu (SO01.11)'!I22+'Krycí list rozpočtu (SO01.12)'!I22+'Krycí list rozpočtu (SO01.13)'!I22+'Krycí list rozpočtu (VORN)'!I22</f>
        <v>0</v>
      </c>
    </row>
    <row r="24" customFormat="false" ht="15" hidden="true" customHeight="false" outlineLevel="0" collapsed="false">
      <c r="G24" s="32"/>
      <c r="H24" s="32"/>
      <c r="I24" s="31" t="n">
        <f aca="false">vorn_sum</f>
        <v>0</v>
      </c>
    </row>
    <row r="25" customFormat="false" ht="15" hidden="true" customHeight="false" outlineLevel="0" collapsed="false">
      <c r="G25" s="32"/>
      <c r="H25" s="32"/>
      <c r="I25" s="31" t="n">
        <f aca="false">'Krycí list rozpočtu (SO01.10)'!I23+'Krycí list rozpočtu (SO01.11)'!I23+'Krycí list rozpočtu (SO01.12)'!I23+'Krycí list rozpočtu (SO01.13)'!I23+'Krycí list rozpočtu (VORN)'!I23</f>
        <v>0</v>
      </c>
    </row>
    <row r="26" customFormat="false" ht="15" hidden="true" customHeight="true" outlineLevel="0" collapsed="false"/>
    <row r="27" customFormat="false" ht="15" hidden="false" customHeight="false" outlineLevel="0" collapsed="false">
      <c r="A27" s="41" t="s">
        <v>50</v>
      </c>
      <c r="B27" s="41"/>
      <c r="C27" s="42" t="n">
        <f aca="false">ROUND(SUM('Stavební rozpočet'!AJ12:AJ374),1)</f>
        <v>0</v>
      </c>
      <c r="D27" s="43"/>
      <c r="E27" s="43"/>
      <c r="F27" s="43"/>
      <c r="G27" s="43"/>
      <c r="H27" s="43"/>
      <c r="I27" s="43"/>
    </row>
    <row r="28" customFormat="false" ht="15" hidden="false" customHeight="false" outlineLevel="0" collapsed="false">
      <c r="A28" s="44" t="s">
        <v>51</v>
      </c>
      <c r="B28" s="44"/>
      <c r="C28" s="45" t="n">
        <f aca="false">ROUND(SUM('Stavební rozpočet'!AK12:AK374),1)</f>
        <v>0</v>
      </c>
      <c r="D28" s="46" t="s">
        <v>52</v>
      </c>
      <c r="E28" s="46"/>
      <c r="F28" s="42" t="n">
        <f aca="false">ROUND(C28*(12/100),2)</f>
        <v>0</v>
      </c>
      <c r="G28" s="46" t="s">
        <v>53</v>
      </c>
      <c r="H28" s="46"/>
      <c r="I28" s="42" t="n">
        <f aca="false">ROUND(SUM(C27:C29),1)</f>
        <v>0</v>
      </c>
    </row>
    <row r="29" customFormat="false" ht="15" hidden="false" customHeight="false" outlineLevel="0" collapsed="false">
      <c r="A29" s="44" t="s">
        <v>54</v>
      </c>
      <c r="B29" s="44"/>
      <c r="C29" s="45" t="n">
        <f aca="false">ROUND(SUM('Stavební rozpočet'!AL12:AL374)+(F22+I22+F23+I23+I24+I25),1)</f>
        <v>0</v>
      </c>
      <c r="D29" s="47" t="s">
        <v>55</v>
      </c>
      <c r="E29" s="47"/>
      <c r="F29" s="45" t="n">
        <f aca="false">ROUND(C29*(21/100),2)</f>
        <v>0</v>
      </c>
      <c r="G29" s="47" t="s">
        <v>56</v>
      </c>
      <c r="H29" s="47"/>
      <c r="I29" s="45" t="n">
        <f aca="false">ROUND(SUM(F28:F29)+I28,1)</f>
        <v>0</v>
      </c>
    </row>
    <row r="31" customFormat="false" ht="15" hidden="false" customHeight="false" outlineLevel="0" collapsed="false">
      <c r="A31" s="48" t="s">
        <v>57</v>
      </c>
      <c r="B31" s="48"/>
      <c r="C31" s="48"/>
      <c r="D31" s="49" t="s">
        <v>58</v>
      </c>
      <c r="E31" s="49"/>
      <c r="F31" s="49"/>
      <c r="G31" s="49" t="s">
        <v>59</v>
      </c>
      <c r="H31" s="49"/>
      <c r="I31" s="49"/>
    </row>
    <row r="32" customFormat="false" ht="15" hidden="false" customHeight="false" outlineLevel="0" collapsed="false">
      <c r="A32" s="50"/>
      <c r="B32" s="50"/>
      <c r="C32" s="50"/>
      <c r="D32" s="51"/>
      <c r="E32" s="51"/>
      <c r="F32" s="51"/>
      <c r="G32" s="51"/>
      <c r="H32" s="51"/>
      <c r="I32" s="51"/>
    </row>
    <row r="33" customFormat="false" ht="15" hidden="false" customHeight="false" outlineLevel="0" collapsed="false">
      <c r="A33" s="50"/>
      <c r="B33" s="50"/>
      <c r="C33" s="50"/>
      <c r="D33" s="51"/>
      <c r="E33" s="51"/>
      <c r="F33" s="51"/>
      <c r="G33" s="51"/>
      <c r="H33" s="51"/>
      <c r="I33" s="51"/>
    </row>
    <row r="34" customFormat="false" ht="15" hidden="false" customHeight="false" outlineLevel="0" collapsed="false">
      <c r="A34" s="50"/>
      <c r="B34" s="50"/>
      <c r="C34" s="50"/>
      <c r="D34" s="51"/>
      <c r="E34" s="51"/>
      <c r="F34" s="51"/>
      <c r="G34" s="51"/>
      <c r="H34" s="51"/>
      <c r="I34" s="51"/>
    </row>
    <row r="35" customFormat="false" ht="15" hidden="false" customHeight="false" outlineLevel="0" collapsed="false">
      <c r="A35" s="52" t="s">
        <v>60</v>
      </c>
      <c r="B35" s="52"/>
      <c r="C35" s="52"/>
      <c r="D35" s="53" t="s">
        <v>60</v>
      </c>
      <c r="E35" s="53"/>
      <c r="F35" s="53"/>
      <c r="G35" s="53" t="s">
        <v>60</v>
      </c>
      <c r="H35" s="53"/>
      <c r="I35" s="53"/>
    </row>
    <row r="36" customFormat="false" ht="15" hidden="false" customHeight="false" outlineLevel="0" collapsed="false">
      <c r="A36" s="1"/>
    </row>
    <row r="37" customFormat="false" ht="12.75" hidden="false" customHeight="true" outlineLevel="0" collapsed="false">
      <c r="A37" s="9"/>
      <c r="B37" s="9"/>
      <c r="C37" s="9"/>
      <c r="D37" s="9"/>
      <c r="E37" s="9"/>
      <c r="F37" s="9"/>
      <c r="G37" s="9"/>
      <c r="H37" s="9"/>
      <c r="I37" s="9"/>
    </row>
    <row r="62" customFormat="false" ht="15" hidden="false" customHeight="true" outlineLevel="0" collapsed="false">
      <c r="A62" s="54" t="s">
        <v>61</v>
      </c>
      <c r="B62" s="54"/>
      <c r="C62" s="54"/>
      <c r="D62" s="54"/>
      <c r="E62" s="54"/>
      <c r="F62" s="54"/>
      <c r="G62" s="54"/>
      <c r="H62" s="54"/>
      <c r="I62" s="54"/>
    </row>
    <row r="63" customFormat="false" ht="15" hidden="false" customHeight="true" outlineLevel="0" collapsed="false">
      <c r="A63" s="55" t="s">
        <v>62</v>
      </c>
      <c r="B63" s="55"/>
      <c r="C63" s="55"/>
      <c r="D63" s="55"/>
      <c r="E63" s="55"/>
      <c r="F63" s="55"/>
      <c r="G63" s="55"/>
      <c r="H63" s="55"/>
      <c r="I63" s="55"/>
    </row>
    <row r="64" customFormat="false" ht="23.85" hidden="false" customHeight="true" outlineLevel="0" collapsed="false">
      <c r="A64" s="55" t="s">
        <v>63</v>
      </c>
      <c r="B64" s="55"/>
      <c r="C64" s="55"/>
      <c r="D64" s="55"/>
      <c r="E64" s="55"/>
      <c r="F64" s="55"/>
      <c r="G64" s="55"/>
      <c r="H64" s="55"/>
      <c r="I64" s="55"/>
    </row>
    <row r="65" customFormat="false" ht="15" hidden="false" customHeight="true" outlineLevel="0" collapsed="false">
      <c r="A65" s="55" t="s">
        <v>64</v>
      </c>
      <c r="B65" s="55"/>
      <c r="C65" s="55"/>
      <c r="D65" s="55"/>
      <c r="E65" s="55"/>
      <c r="F65" s="55"/>
      <c r="G65" s="55"/>
      <c r="H65" s="55"/>
      <c r="I65" s="55"/>
    </row>
    <row r="66" customFormat="false" ht="15" hidden="false" customHeight="true" outlineLevel="0" collapsed="false">
      <c r="A66" s="55" t="s">
        <v>65</v>
      </c>
      <c r="B66" s="55"/>
      <c r="C66" s="55"/>
      <c r="D66" s="55"/>
      <c r="E66" s="55"/>
      <c r="F66" s="55"/>
      <c r="G66" s="55"/>
      <c r="H66" s="55"/>
      <c r="I66" s="55"/>
    </row>
    <row r="67" customFormat="false" ht="23.85" hidden="false" customHeight="true" outlineLevel="0" collapsed="false">
      <c r="A67" s="55" t="s">
        <v>66</v>
      </c>
      <c r="B67" s="55"/>
      <c r="C67" s="55"/>
      <c r="D67" s="55"/>
      <c r="E67" s="55"/>
      <c r="F67" s="55"/>
      <c r="G67" s="55"/>
      <c r="H67" s="55"/>
      <c r="I67" s="55"/>
    </row>
    <row r="68" customFormat="false" ht="15" hidden="false" customHeight="true" outlineLevel="0" collapsed="false">
      <c r="A68" s="55" t="s">
        <v>67</v>
      </c>
      <c r="B68" s="55"/>
      <c r="C68" s="55"/>
      <c r="D68" s="55"/>
      <c r="E68" s="55"/>
      <c r="F68" s="55"/>
      <c r="G68" s="55"/>
      <c r="H68" s="55"/>
      <c r="I68" s="55"/>
    </row>
    <row r="69" customFormat="false" ht="15" hidden="false" customHeight="true" outlineLevel="0" collapsed="false">
      <c r="A69" s="55" t="s">
        <v>68</v>
      </c>
      <c r="B69" s="55"/>
      <c r="C69" s="55"/>
      <c r="D69" s="55"/>
      <c r="E69" s="55"/>
      <c r="F69" s="55"/>
      <c r="G69" s="55"/>
      <c r="H69" s="55"/>
      <c r="I69" s="55"/>
    </row>
    <row r="70" customFormat="false" ht="23.85" hidden="false" customHeight="true" outlineLevel="0" collapsed="false">
      <c r="A70" s="55" t="s">
        <v>69</v>
      </c>
      <c r="B70" s="55"/>
      <c r="C70" s="55"/>
      <c r="D70" s="55"/>
      <c r="E70" s="55"/>
      <c r="F70" s="55"/>
      <c r="G70" s="55"/>
      <c r="H70" s="55"/>
      <c r="I70" s="55"/>
    </row>
    <row r="71" customFormat="false" ht="23.85" hidden="false" customHeight="true" outlineLevel="0" collapsed="false">
      <c r="A71" s="55" t="s">
        <v>70</v>
      </c>
      <c r="B71" s="55"/>
      <c r="C71" s="55"/>
      <c r="D71" s="55"/>
      <c r="E71" s="55"/>
      <c r="F71" s="55"/>
      <c r="G71" s="55"/>
      <c r="H71" s="55"/>
      <c r="I71" s="55"/>
    </row>
    <row r="72" customFormat="false" ht="15" hidden="false" customHeight="true" outlineLevel="0" collapsed="false">
      <c r="A72" s="55" t="s">
        <v>71</v>
      </c>
      <c r="B72" s="55"/>
      <c r="C72" s="55"/>
      <c r="D72" s="55"/>
      <c r="E72" s="55"/>
      <c r="F72" s="55"/>
      <c r="G72" s="55"/>
      <c r="H72" s="55"/>
      <c r="I72" s="55"/>
    </row>
    <row r="73" customFormat="false" ht="15" hidden="false" customHeight="false" outlineLevel="0" collapsed="false">
      <c r="A73" s="56" t="s">
        <v>72</v>
      </c>
      <c r="B73" s="57"/>
      <c r="C73" s="57"/>
      <c r="D73" s="57"/>
      <c r="E73" s="57"/>
      <c r="F73" s="57"/>
      <c r="G73" s="57"/>
      <c r="H73" s="57"/>
      <c r="I73" s="57"/>
    </row>
    <row r="74" customFormat="false" ht="15" hidden="false" customHeight="true" outlineLevel="0" collapsed="false">
      <c r="A74" s="55" t="s">
        <v>73</v>
      </c>
      <c r="B74" s="55"/>
      <c r="C74" s="55"/>
      <c r="D74" s="55"/>
      <c r="E74" s="55"/>
      <c r="F74" s="55"/>
      <c r="G74" s="55"/>
      <c r="H74" s="55"/>
      <c r="I74" s="55"/>
    </row>
    <row r="75" customFormat="false" ht="23.85" hidden="false" customHeight="true" outlineLevel="0" collapsed="false">
      <c r="A75" s="55" t="s">
        <v>74</v>
      </c>
      <c r="B75" s="55"/>
      <c r="C75" s="55"/>
      <c r="D75" s="55"/>
      <c r="E75" s="55"/>
      <c r="F75" s="55"/>
      <c r="G75" s="55"/>
      <c r="H75" s="55"/>
      <c r="I75" s="55"/>
    </row>
  </sheetData>
  <mergeCells count="96">
    <mergeCell ref="A1:G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2:I12"/>
    <mergeCell ref="B13:C13"/>
    <mergeCell ref="E13:F13"/>
    <mergeCell ref="H13:I13"/>
    <mergeCell ref="D14:E14"/>
    <mergeCell ref="G14:H14"/>
    <mergeCell ref="D15:E15"/>
    <mergeCell ref="G15:H15"/>
    <mergeCell ref="D16:E16"/>
    <mergeCell ref="G16:H16"/>
    <mergeCell ref="D17:E17"/>
    <mergeCell ref="G17:H17"/>
    <mergeCell ref="D18:E18"/>
    <mergeCell ref="G18:H18"/>
    <mergeCell ref="D19:E19"/>
    <mergeCell ref="G19:H19"/>
    <mergeCell ref="A20:B20"/>
    <mergeCell ref="D20:E20"/>
    <mergeCell ref="G20:H20"/>
    <mergeCell ref="A21:B21"/>
    <mergeCell ref="D21:E21"/>
    <mergeCell ref="G21:H21"/>
    <mergeCell ref="A22:B22"/>
    <mergeCell ref="D22:E22"/>
    <mergeCell ref="G22:H22"/>
    <mergeCell ref="D23:E23"/>
    <mergeCell ref="G23:H23"/>
    <mergeCell ref="G24:H24"/>
    <mergeCell ref="G25:H25"/>
    <mergeCell ref="A27:B27"/>
    <mergeCell ref="A28:B28"/>
    <mergeCell ref="D28:E28"/>
    <mergeCell ref="G28:H28"/>
    <mergeCell ref="A29:B29"/>
    <mergeCell ref="D29:E29"/>
    <mergeCell ref="G29:H29"/>
    <mergeCell ref="A31:C31"/>
    <mergeCell ref="D31:F31"/>
    <mergeCell ref="G31:I31"/>
    <mergeCell ref="A32:C32"/>
    <mergeCell ref="D32:F32"/>
    <mergeCell ref="G32:I32"/>
    <mergeCell ref="A33:C33"/>
    <mergeCell ref="D33:F33"/>
    <mergeCell ref="G33:I33"/>
    <mergeCell ref="A34:C34"/>
    <mergeCell ref="D34:F34"/>
    <mergeCell ref="G34:I34"/>
    <mergeCell ref="A35:C35"/>
    <mergeCell ref="D35:F35"/>
    <mergeCell ref="G35:I35"/>
    <mergeCell ref="A37:I37"/>
    <mergeCell ref="A62:I62"/>
    <mergeCell ref="A63:I63"/>
    <mergeCell ref="A64:I64"/>
    <mergeCell ref="A65:I65"/>
    <mergeCell ref="A66:I66"/>
    <mergeCell ref="A67:I67"/>
    <mergeCell ref="A68:I68"/>
    <mergeCell ref="A69:I69"/>
    <mergeCell ref="A70:I70"/>
    <mergeCell ref="A71:I71"/>
    <mergeCell ref="A72:I72"/>
    <mergeCell ref="A74:I74"/>
    <mergeCell ref="A75:I75"/>
  </mergeCells>
  <printOptions headings="false" gridLines="false" gridLinesSet="true" horizontalCentered="false" verticalCentered="false"/>
  <pageMargins left="0.39375" right="0.39375" top="0.196527777777778" bottom="0.442361111111111" header="0.511811023622047" footer="0.275694444444444"/>
  <pageSetup paperSize="1" scale="100" fitToWidth="1" fitToHeight="2" pageOrder="downThenOver" orientation="landscape" blackAndWhite="false" draft="false" cellComments="none" firstPageNumber="1" useFirstPageNumber="true" horizontalDpi="300" verticalDpi="300" copies="1"/>
  <headerFooter differentFirst="false" differentOddEven="false">
    <oddHeader/>
    <oddFooter>&amp;C&amp;"Times New Roman,obyčejné"&amp;12&amp;F, Stránka &amp;P</oddFooter>
  </headerFooter>
  <drawing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06292"/>
    <pageSetUpPr fitToPage="true"/>
  </sheetPr>
  <dimension ref="A1:I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1484375" defaultRowHeight="15" customHeight="true" zeroHeight="false" outlineLevelRow="0" outlineLevelCol="0"/>
  <cols>
    <col collapsed="false" customWidth="true" hidden="false" outlineLevel="0" max="1" min="1" style="22" width="17.02"/>
    <col collapsed="false" customWidth="true" hidden="false" outlineLevel="0" max="2" min="2" style="22" width="12.86"/>
    <col collapsed="false" customWidth="true" hidden="false" outlineLevel="0" max="3" min="3" style="22" width="27.15"/>
    <col collapsed="false" customWidth="true" hidden="false" outlineLevel="0" max="4" min="4" style="22" width="16.8"/>
    <col collapsed="false" customWidth="true" hidden="false" outlineLevel="0" max="5" min="5" style="22" width="14"/>
    <col collapsed="false" customWidth="true" hidden="false" outlineLevel="0" max="6" min="6" style="22" width="27.15"/>
    <col collapsed="false" customWidth="true" hidden="false" outlineLevel="0" max="7" min="7" style="22" width="17.02"/>
    <col collapsed="false" customWidth="true" hidden="false" outlineLevel="0" max="8" min="8" style="22" width="12.86"/>
    <col collapsed="false" customWidth="true" hidden="false" outlineLevel="0" max="9" min="9" style="22" width="27.15"/>
  </cols>
  <sheetData>
    <row r="1" customFormat="false" ht="39.7" hidden="false" customHeight="true" outlineLevel="0" collapsed="false">
      <c r="A1" s="24" t="s">
        <v>789</v>
      </c>
      <c r="B1" s="24"/>
      <c r="C1" s="24"/>
      <c r="D1" s="24"/>
      <c r="E1" s="24"/>
      <c r="F1" s="24"/>
      <c r="G1" s="24"/>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16</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2" customFormat="false" ht="22.05" hidden="false" customHeight="false" outlineLevel="0" collapsed="false">
      <c r="A12" s="25" t="s">
        <v>32</v>
      </c>
      <c r="B12" s="25"/>
      <c r="C12" s="25"/>
      <c r="D12" s="25"/>
      <c r="E12" s="25"/>
      <c r="F12" s="25"/>
      <c r="G12" s="25"/>
      <c r="H12" s="25"/>
      <c r="I12" s="25"/>
    </row>
    <row r="13" customFormat="false" ht="26.25" hidden="false" customHeight="true" outlineLevel="0" collapsed="false">
      <c r="A13" s="26" t="s">
        <v>33</v>
      </c>
      <c r="B13" s="27" t="s">
        <v>34</v>
      </c>
      <c r="C13" s="27"/>
      <c r="D13" s="28" t="s">
        <v>35</v>
      </c>
      <c r="E13" s="27" t="s">
        <v>36</v>
      </c>
      <c r="F13" s="27"/>
      <c r="G13" s="28" t="s">
        <v>775</v>
      </c>
      <c r="H13" s="27" t="s">
        <v>82</v>
      </c>
      <c r="I13" s="27"/>
    </row>
    <row r="14" customFormat="false" ht="15" hidden="false" customHeight="false" outlineLevel="0" collapsed="false">
      <c r="A14" s="29" t="s">
        <v>37</v>
      </c>
      <c r="B14" s="30" t="s">
        <v>38</v>
      </c>
      <c r="C14" s="31" t="n">
        <f aca="false">SUM('Stavební rozpočet (SO01.13)'!AB12:AB374)</f>
        <v>0</v>
      </c>
      <c r="D14" s="30" t="s">
        <v>39</v>
      </c>
      <c r="E14" s="30"/>
      <c r="F14" s="31" t="n">
        <f aca="false">'VORN objektu (SO01.13)'!I15</f>
        <v>0</v>
      </c>
      <c r="G14" s="30" t="s">
        <v>83</v>
      </c>
      <c r="H14" s="30"/>
      <c r="I14" s="31" t="n">
        <f aca="false">'VORN objektu (SO01.13)'!I21</f>
        <v>0</v>
      </c>
    </row>
    <row r="15" customFormat="false" ht="15" hidden="false" customHeight="false" outlineLevel="0" collapsed="false">
      <c r="A15" s="32"/>
      <c r="B15" s="30" t="s">
        <v>40</v>
      </c>
      <c r="C15" s="31" t="n">
        <f aca="false">SUM('Stavební rozpočet (SO01.13)'!AC12:AC374)</f>
        <v>0</v>
      </c>
      <c r="D15" s="30" t="s">
        <v>41</v>
      </c>
      <c r="E15" s="30"/>
      <c r="F15" s="31" t="n">
        <f aca="false">'VORN objektu (SO01.13)'!I16</f>
        <v>0</v>
      </c>
      <c r="G15" s="30" t="s">
        <v>84</v>
      </c>
      <c r="H15" s="30"/>
      <c r="I15" s="31" t="n">
        <f aca="false">'VORN objektu (SO01.13)'!I22</f>
        <v>0</v>
      </c>
    </row>
    <row r="16" customFormat="false" ht="15" hidden="false" customHeight="false" outlineLevel="0" collapsed="false">
      <c r="A16" s="29" t="s">
        <v>42</v>
      </c>
      <c r="B16" s="30" t="s">
        <v>38</v>
      </c>
      <c r="C16" s="31" t="n">
        <f aca="false">SUM('Stavební rozpočet (SO01.13)'!AD12:AD374)</f>
        <v>0</v>
      </c>
      <c r="D16" s="30" t="s">
        <v>43</v>
      </c>
      <c r="E16" s="30"/>
      <c r="F16" s="31" t="n">
        <f aca="false">'VORN objektu (SO01.13)'!I17</f>
        <v>0</v>
      </c>
      <c r="G16" s="30" t="s">
        <v>85</v>
      </c>
      <c r="H16" s="30"/>
      <c r="I16" s="31" t="n">
        <f aca="false">'VORN objektu (SO01.13)'!I23</f>
        <v>0</v>
      </c>
    </row>
    <row r="17" customFormat="false" ht="15" hidden="false" customHeight="false" outlineLevel="0" collapsed="false">
      <c r="A17" s="32"/>
      <c r="B17" s="30" t="s">
        <v>40</v>
      </c>
      <c r="C17" s="31" t="n">
        <f aca="false">SUM('Stavební rozpočet (SO01.13)'!AE12:AE374)</f>
        <v>0</v>
      </c>
      <c r="D17" s="30"/>
      <c r="E17" s="30"/>
      <c r="F17" s="33"/>
      <c r="G17" s="30" t="s">
        <v>86</v>
      </c>
      <c r="H17" s="30"/>
      <c r="I17" s="31" t="n">
        <f aca="false">'VORN objektu (SO01.13)'!I24</f>
        <v>0</v>
      </c>
    </row>
    <row r="18" customFormat="false" ht="15" hidden="false" customHeight="false" outlineLevel="0" collapsed="false">
      <c r="A18" s="29" t="s">
        <v>44</v>
      </c>
      <c r="B18" s="30" t="s">
        <v>38</v>
      </c>
      <c r="C18" s="31" t="n">
        <f aca="false">SUM('Stavební rozpočet (SO01.13)'!AF12:AF374)</f>
        <v>0</v>
      </c>
      <c r="D18" s="30"/>
      <c r="E18" s="30"/>
      <c r="F18" s="33"/>
      <c r="G18" s="30" t="s">
        <v>87</v>
      </c>
      <c r="H18" s="30"/>
      <c r="I18" s="31" t="n">
        <f aca="false">'VORN objektu (SO01.13)'!I25</f>
        <v>0</v>
      </c>
    </row>
    <row r="19" customFormat="false" ht="15" hidden="false" customHeight="false" outlineLevel="0" collapsed="false">
      <c r="A19" s="32"/>
      <c r="B19" s="30" t="s">
        <v>40</v>
      </c>
      <c r="C19" s="31" t="n">
        <f aca="false">SUM('Stavební rozpočet (SO01.13)'!AG12:AG374)</f>
        <v>0</v>
      </c>
      <c r="D19" s="30"/>
      <c r="E19" s="30"/>
      <c r="F19" s="33"/>
      <c r="G19" s="30" t="s">
        <v>88</v>
      </c>
      <c r="H19" s="30"/>
      <c r="I19" s="31" t="n">
        <f aca="false">'VORN objektu (SO01.13)'!I26</f>
        <v>0</v>
      </c>
    </row>
    <row r="20" customFormat="false" ht="15" hidden="false" customHeight="false" outlineLevel="0" collapsed="false">
      <c r="A20" s="32" t="s">
        <v>45</v>
      </c>
      <c r="B20" s="32"/>
      <c r="C20" s="31" t="n">
        <f aca="false">SUM('Stavební rozpočet (SO01.13)'!AH12:AH374)</f>
        <v>0</v>
      </c>
      <c r="D20" s="30"/>
      <c r="E20" s="30"/>
      <c r="F20" s="33"/>
      <c r="G20" s="30"/>
      <c r="H20" s="30"/>
      <c r="I20" s="33"/>
    </row>
    <row r="21" customFormat="false" ht="15" hidden="false" customHeight="false" outlineLevel="0" collapsed="false">
      <c r="A21" s="29" t="s">
        <v>46</v>
      </c>
      <c r="B21" s="29"/>
      <c r="C21" s="34" t="n">
        <f aca="false">SUM('Stavební rozpočet (SO01.13)'!Z12:Z374)</f>
        <v>0</v>
      </c>
      <c r="D21" s="35"/>
      <c r="E21" s="35"/>
      <c r="F21" s="36"/>
      <c r="G21" s="35"/>
      <c r="H21" s="35"/>
      <c r="I21" s="36"/>
    </row>
    <row r="22" customFormat="false" ht="16.5" hidden="false" customHeight="true" outlineLevel="0" collapsed="false">
      <c r="A22" s="37" t="s">
        <v>47</v>
      </c>
      <c r="B22" s="37"/>
      <c r="C22" s="38" t="n">
        <f aca="false">ROUND(SUM(C14:C21),1)</f>
        <v>0</v>
      </c>
      <c r="D22" s="39" t="s">
        <v>48</v>
      </c>
      <c r="E22" s="39"/>
      <c r="F22" s="38" t="n">
        <f aca="false">SUM(F14:F21)</f>
        <v>0</v>
      </c>
      <c r="G22" s="39" t="s">
        <v>776</v>
      </c>
      <c r="H22" s="39"/>
      <c r="I22" s="38" t="n">
        <f aca="false">SUM(I14:I21)</f>
        <v>0</v>
      </c>
    </row>
    <row r="23" customFormat="false" ht="15" hidden="false" customHeight="false" outlineLevel="0" collapsed="false">
      <c r="G23" s="32" t="s">
        <v>777</v>
      </c>
      <c r="H23" s="32"/>
      <c r="I23" s="31" t="n">
        <f aca="false">'VORN objektu (SO01.13)'!I36</f>
        <v>0</v>
      </c>
    </row>
    <row r="25" customFormat="false" ht="15" hidden="false" customHeight="false" outlineLevel="0" collapsed="false">
      <c r="A25" s="41" t="s">
        <v>50</v>
      </c>
      <c r="B25" s="41"/>
      <c r="C25" s="42" t="n">
        <f aca="false">ROUND(SUM('Stavební rozpočet (SO01.13)'!AJ12:AJ374),1)</f>
        <v>0</v>
      </c>
      <c r="D25" s="43"/>
      <c r="E25" s="43"/>
      <c r="F25" s="43"/>
      <c r="G25" s="43"/>
      <c r="H25" s="43"/>
      <c r="I25" s="43"/>
    </row>
    <row r="26" customFormat="false" ht="15" hidden="false" customHeight="false" outlineLevel="0" collapsed="false">
      <c r="A26" s="44" t="s">
        <v>51</v>
      </c>
      <c r="B26" s="44"/>
      <c r="C26" s="45" t="n">
        <f aca="false">ROUND(SUM('Stavební rozpočet (SO01.13)'!AK12:AK374),1)</f>
        <v>0</v>
      </c>
      <c r="D26" s="46" t="s">
        <v>52</v>
      </c>
      <c r="E26" s="46"/>
      <c r="F26" s="42" t="n">
        <f aca="false">ROUND(C26*(12/100),2)</f>
        <v>0</v>
      </c>
      <c r="G26" s="46" t="s">
        <v>53</v>
      </c>
      <c r="H26" s="46"/>
      <c r="I26" s="42" t="n">
        <f aca="false">ROUND(SUM(C25:C27),1)</f>
        <v>0</v>
      </c>
    </row>
    <row r="27" customFormat="false" ht="15" hidden="false" customHeight="false" outlineLevel="0" collapsed="false">
      <c r="A27" s="44" t="s">
        <v>54</v>
      </c>
      <c r="B27" s="44"/>
      <c r="C27" s="45" t="n">
        <f aca="false">ROUND(SUM('Stavební rozpočet (SO01.13)'!AL12:AL374)+(F22+I22+F23+I23+I24),1)</f>
        <v>0</v>
      </c>
      <c r="D27" s="47" t="s">
        <v>55</v>
      </c>
      <c r="E27" s="47"/>
      <c r="F27" s="45" t="n">
        <f aca="false">ROUND(C27*(21/100),2)</f>
        <v>0</v>
      </c>
      <c r="G27" s="47" t="s">
        <v>56</v>
      </c>
      <c r="H27" s="47"/>
      <c r="I27" s="45" t="n">
        <f aca="false">ROUND(SUM(F26:F27)+I26,1)</f>
        <v>0</v>
      </c>
    </row>
    <row r="29" customFormat="false" ht="15" hidden="false" customHeight="false" outlineLevel="0" collapsed="false">
      <c r="A29" s="48" t="s">
        <v>57</v>
      </c>
      <c r="B29" s="48"/>
      <c r="C29" s="48"/>
      <c r="D29" s="49" t="s">
        <v>58</v>
      </c>
      <c r="E29" s="49"/>
      <c r="F29" s="49"/>
      <c r="G29" s="49" t="s">
        <v>59</v>
      </c>
      <c r="H29" s="49"/>
      <c r="I29" s="49"/>
    </row>
    <row r="30" customFormat="false" ht="15" hidden="false" customHeight="false" outlineLevel="0" collapsed="false">
      <c r="A30" s="50"/>
      <c r="B30" s="50"/>
      <c r="C30" s="50"/>
      <c r="D30" s="51"/>
      <c r="E30" s="51"/>
      <c r="F30" s="51"/>
      <c r="G30" s="51"/>
      <c r="H30" s="51"/>
      <c r="I30" s="51"/>
    </row>
    <row r="31" customFormat="false" ht="15" hidden="false" customHeight="false" outlineLevel="0" collapsed="false">
      <c r="A31" s="50"/>
      <c r="B31" s="50"/>
      <c r="C31" s="50"/>
      <c r="D31" s="51"/>
      <c r="E31" s="51"/>
      <c r="F31" s="51"/>
      <c r="G31" s="51"/>
      <c r="H31" s="51"/>
      <c r="I31" s="51"/>
    </row>
    <row r="32" customFormat="false" ht="15" hidden="false" customHeight="false" outlineLevel="0" collapsed="false">
      <c r="A32" s="50"/>
      <c r="B32" s="50"/>
      <c r="C32" s="50"/>
      <c r="D32" s="51"/>
      <c r="E32" s="51"/>
      <c r="F32" s="51"/>
      <c r="G32" s="51"/>
      <c r="H32" s="51"/>
      <c r="I32" s="51"/>
    </row>
    <row r="33" customFormat="false" ht="15" hidden="false" customHeight="false" outlineLevel="0" collapsed="false">
      <c r="A33" s="52" t="s">
        <v>60</v>
      </c>
      <c r="B33" s="52"/>
      <c r="C33" s="52"/>
      <c r="D33" s="53" t="s">
        <v>60</v>
      </c>
      <c r="E33" s="53"/>
      <c r="F33" s="53"/>
      <c r="G33" s="53" t="s">
        <v>60</v>
      </c>
      <c r="H33" s="53"/>
      <c r="I33" s="53"/>
    </row>
    <row r="34" customFormat="false" ht="15" hidden="false" customHeight="false" outlineLevel="0" collapsed="false">
      <c r="A34" s="1"/>
    </row>
    <row r="35" customFormat="false" ht="12.75" hidden="true" customHeight="true" outlineLevel="0" collapsed="false">
      <c r="A35" s="9"/>
      <c r="B35" s="9"/>
      <c r="C35" s="9"/>
      <c r="D35" s="9"/>
      <c r="E35" s="9"/>
      <c r="F35" s="9"/>
      <c r="G35" s="9"/>
      <c r="H35" s="9"/>
      <c r="I35" s="9"/>
    </row>
  </sheetData>
  <mergeCells count="80">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2:I12"/>
    <mergeCell ref="B13:C13"/>
    <mergeCell ref="E13:F13"/>
    <mergeCell ref="H13:I13"/>
    <mergeCell ref="D14:E14"/>
    <mergeCell ref="G14:H14"/>
    <mergeCell ref="D15:E15"/>
    <mergeCell ref="G15:H15"/>
    <mergeCell ref="D16:E16"/>
    <mergeCell ref="G16:H16"/>
    <mergeCell ref="D17:E17"/>
    <mergeCell ref="G17:H17"/>
    <mergeCell ref="D18:E18"/>
    <mergeCell ref="G18:H18"/>
    <mergeCell ref="D19:E19"/>
    <mergeCell ref="G19:H19"/>
    <mergeCell ref="A20:B20"/>
    <mergeCell ref="D20:E20"/>
    <mergeCell ref="G20:H20"/>
    <mergeCell ref="A21:B21"/>
    <mergeCell ref="D21:E21"/>
    <mergeCell ref="G21:H21"/>
    <mergeCell ref="A22:B22"/>
    <mergeCell ref="D22:E22"/>
    <mergeCell ref="G22:H22"/>
    <mergeCell ref="G23:H23"/>
    <mergeCell ref="A25:B25"/>
    <mergeCell ref="A26:B26"/>
    <mergeCell ref="D26:E26"/>
    <mergeCell ref="G26:H26"/>
    <mergeCell ref="A27:B27"/>
    <mergeCell ref="D27:E27"/>
    <mergeCell ref="G27:H27"/>
    <mergeCell ref="A29:C29"/>
    <mergeCell ref="D29:F29"/>
    <mergeCell ref="G29:I29"/>
    <mergeCell ref="A30:C30"/>
    <mergeCell ref="D30:F30"/>
    <mergeCell ref="G30:I30"/>
    <mergeCell ref="A31:C31"/>
    <mergeCell ref="D31:F31"/>
    <mergeCell ref="G31:I31"/>
    <mergeCell ref="A32:C32"/>
    <mergeCell ref="D32:F32"/>
    <mergeCell ref="G32:I32"/>
    <mergeCell ref="A33:C33"/>
    <mergeCell ref="D33:F33"/>
    <mergeCell ref="G33:I33"/>
    <mergeCell ref="A35:I35"/>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1" pageOrder="downThenOver" orientation="landscape" blackAndWhite="false" draft="false" cellComments="none" horizontalDpi="300" verticalDpi="300" copies="1"/>
  <headerFooter differentFirst="false" differentOddEven="false">
    <oddHeader/>
    <oddFooter/>
  </headerFooter>
  <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I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6" activeCellId="0" sqref="A36"/>
    </sheetView>
  </sheetViews>
  <sheetFormatPr defaultColWidth="12.1484375" defaultRowHeight="15" customHeight="true" zeroHeight="false" outlineLevelRow="0" outlineLevelCol="0"/>
  <cols>
    <col collapsed="false" customWidth="true" hidden="false" outlineLevel="0" max="1" min="1" style="22" width="9.14"/>
    <col collapsed="false" customWidth="true" hidden="false" outlineLevel="0" max="2" min="2" style="22" width="12.86"/>
    <col collapsed="false" customWidth="true" hidden="false" outlineLevel="0" max="3" min="3" style="22" width="22.86"/>
    <col collapsed="false" customWidth="true" hidden="false" outlineLevel="0" max="4" min="4" style="22" width="10"/>
    <col collapsed="false" customWidth="true" hidden="false" outlineLevel="0" max="5" min="5" style="22" width="14"/>
    <col collapsed="false" customWidth="true" hidden="false" outlineLevel="0" max="6" min="6" style="22" width="22.86"/>
    <col collapsed="false" customWidth="true" hidden="false" outlineLevel="0" max="7" min="7" style="22" width="9.14"/>
    <col collapsed="false" customWidth="true" hidden="false" outlineLevel="0" max="8" min="8" style="22" width="17.15"/>
    <col collapsed="false" customWidth="true" hidden="false" outlineLevel="0" max="9" min="9" style="22" width="22.86"/>
  </cols>
  <sheetData>
    <row r="1" customFormat="false" ht="54.75" hidden="false" customHeight="true" outlineLevel="0" collapsed="false">
      <c r="A1" s="24" t="s">
        <v>790</v>
      </c>
      <c r="B1" s="24"/>
      <c r="C1" s="24"/>
      <c r="D1" s="24"/>
      <c r="E1" s="24"/>
      <c r="F1" s="24"/>
      <c r="G1" s="24"/>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16</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3" customFormat="false" ht="15" hidden="false" customHeight="false" outlineLevel="0" collapsed="false">
      <c r="A13" s="58" t="s">
        <v>76</v>
      </c>
      <c r="B13" s="58"/>
      <c r="C13" s="58"/>
      <c r="D13" s="58"/>
      <c r="E13" s="58"/>
    </row>
    <row r="14" customFormat="false" ht="15" hidden="false" customHeight="false" outlineLevel="0" collapsed="false">
      <c r="A14" s="59" t="s">
        <v>77</v>
      </c>
      <c r="B14" s="59"/>
      <c r="C14" s="59"/>
      <c r="D14" s="59"/>
      <c r="E14" s="59"/>
      <c r="F14" s="60" t="s">
        <v>78</v>
      </c>
      <c r="G14" s="60" t="s">
        <v>79</v>
      </c>
      <c r="H14" s="60" t="s">
        <v>80</v>
      </c>
      <c r="I14" s="60" t="s">
        <v>78</v>
      </c>
    </row>
    <row r="15" customFormat="false" ht="15" hidden="false" customHeight="false" outlineLevel="0" collapsed="false">
      <c r="A15" s="61" t="s">
        <v>39</v>
      </c>
      <c r="B15" s="61"/>
      <c r="C15" s="61"/>
      <c r="D15" s="61"/>
      <c r="E15" s="61"/>
      <c r="F15" s="62" t="n">
        <v>0</v>
      </c>
      <c r="G15" s="63"/>
      <c r="H15" s="63"/>
      <c r="I15" s="62" t="n">
        <f aca="false">F15</f>
        <v>0</v>
      </c>
    </row>
    <row r="16" customFormat="false" ht="15" hidden="false" customHeight="false" outlineLevel="0" collapsed="false">
      <c r="A16" s="61" t="s">
        <v>41</v>
      </c>
      <c r="B16" s="61"/>
      <c r="C16" s="61"/>
      <c r="D16" s="61"/>
      <c r="E16" s="61"/>
      <c r="F16" s="62" t="n">
        <v>0</v>
      </c>
      <c r="G16" s="63"/>
      <c r="H16" s="63"/>
      <c r="I16" s="62" t="n">
        <f aca="false">F16</f>
        <v>0</v>
      </c>
    </row>
    <row r="17" customFormat="false" ht="15" hidden="false" customHeight="false" outlineLevel="0" collapsed="false">
      <c r="A17" s="64" t="s">
        <v>43</v>
      </c>
      <c r="B17" s="64"/>
      <c r="C17" s="64"/>
      <c r="D17" s="64"/>
      <c r="E17" s="64"/>
      <c r="F17" s="65" t="n">
        <v>0</v>
      </c>
      <c r="G17" s="10"/>
      <c r="H17" s="10"/>
      <c r="I17" s="65" t="n">
        <f aca="false">F17</f>
        <v>0</v>
      </c>
    </row>
    <row r="18" customFormat="false" ht="15" hidden="false" customHeight="false" outlineLevel="0" collapsed="false">
      <c r="A18" s="66" t="s">
        <v>81</v>
      </c>
      <c r="B18" s="66"/>
      <c r="C18" s="66"/>
      <c r="D18" s="66"/>
      <c r="E18" s="66"/>
      <c r="F18" s="67"/>
      <c r="G18" s="68"/>
      <c r="H18" s="68"/>
      <c r="I18" s="69" t="n">
        <f aca="false">SUM(I15:I17)</f>
        <v>0</v>
      </c>
    </row>
    <row r="20" customFormat="false" ht="15" hidden="false" customHeight="false" outlineLevel="0" collapsed="false">
      <c r="A20" s="59" t="s">
        <v>82</v>
      </c>
      <c r="B20" s="59"/>
      <c r="C20" s="59"/>
      <c r="D20" s="59"/>
      <c r="E20" s="59"/>
      <c r="F20" s="60" t="s">
        <v>78</v>
      </c>
      <c r="G20" s="60" t="s">
        <v>79</v>
      </c>
      <c r="H20" s="60" t="s">
        <v>80</v>
      </c>
      <c r="I20" s="60" t="s">
        <v>78</v>
      </c>
    </row>
    <row r="21" customFormat="false" ht="15" hidden="false" customHeight="false" outlineLevel="0" collapsed="false">
      <c r="A21" s="61" t="s">
        <v>83</v>
      </c>
      <c r="B21" s="61"/>
      <c r="C21" s="61"/>
      <c r="D21" s="61"/>
      <c r="E21" s="61"/>
      <c r="F21" s="62" t="n">
        <v>0</v>
      </c>
      <c r="G21" s="63"/>
      <c r="H21" s="63"/>
      <c r="I21" s="62" t="n">
        <f aca="false">F21</f>
        <v>0</v>
      </c>
    </row>
    <row r="22" customFormat="false" ht="15" hidden="false" customHeight="false" outlineLevel="0" collapsed="false">
      <c r="A22" s="61" t="s">
        <v>84</v>
      </c>
      <c r="B22" s="61"/>
      <c r="C22" s="61"/>
      <c r="D22" s="61"/>
      <c r="E22" s="61"/>
      <c r="F22" s="62" t="n">
        <v>0</v>
      </c>
      <c r="G22" s="63"/>
      <c r="H22" s="63"/>
      <c r="I22" s="62" t="n">
        <f aca="false">F22</f>
        <v>0</v>
      </c>
    </row>
    <row r="23" customFormat="false" ht="15" hidden="false" customHeight="false" outlineLevel="0" collapsed="false">
      <c r="A23" s="61" t="s">
        <v>85</v>
      </c>
      <c r="B23" s="61"/>
      <c r="C23" s="61"/>
      <c r="D23" s="61"/>
      <c r="E23" s="61"/>
      <c r="F23" s="62" t="n">
        <v>0</v>
      </c>
      <c r="G23" s="63"/>
      <c r="H23" s="63"/>
      <c r="I23" s="62" t="n">
        <f aca="false">F23</f>
        <v>0</v>
      </c>
    </row>
    <row r="24" customFormat="false" ht="15" hidden="false" customHeight="false" outlineLevel="0" collapsed="false">
      <c r="A24" s="61" t="s">
        <v>86</v>
      </c>
      <c r="B24" s="61"/>
      <c r="C24" s="61"/>
      <c r="D24" s="61"/>
      <c r="E24" s="61"/>
      <c r="F24" s="62" t="n">
        <v>0</v>
      </c>
      <c r="G24" s="63"/>
      <c r="H24" s="63"/>
      <c r="I24" s="62" t="n">
        <f aca="false">F24</f>
        <v>0</v>
      </c>
    </row>
    <row r="25" customFormat="false" ht="15" hidden="false" customHeight="false" outlineLevel="0" collapsed="false">
      <c r="A25" s="61" t="s">
        <v>87</v>
      </c>
      <c r="B25" s="61"/>
      <c r="C25" s="61"/>
      <c r="D25" s="61"/>
      <c r="E25" s="61"/>
      <c r="F25" s="62" t="n">
        <v>0</v>
      </c>
      <c r="G25" s="63"/>
      <c r="H25" s="63"/>
      <c r="I25" s="62" t="n">
        <f aca="false">F25</f>
        <v>0</v>
      </c>
    </row>
    <row r="26" customFormat="false" ht="15" hidden="false" customHeight="false" outlineLevel="0" collapsed="false">
      <c r="A26" s="64" t="s">
        <v>88</v>
      </c>
      <c r="B26" s="64"/>
      <c r="C26" s="64"/>
      <c r="D26" s="64"/>
      <c r="E26" s="64"/>
      <c r="F26" s="65" t="n">
        <v>0</v>
      </c>
      <c r="G26" s="10"/>
      <c r="H26" s="10"/>
      <c r="I26" s="65" t="n">
        <f aca="false">F26</f>
        <v>0</v>
      </c>
    </row>
    <row r="27" customFormat="false" ht="15" hidden="false" customHeight="false" outlineLevel="0" collapsed="false">
      <c r="A27" s="66" t="s">
        <v>89</v>
      </c>
      <c r="B27" s="66"/>
      <c r="C27" s="66"/>
      <c r="D27" s="66"/>
      <c r="E27" s="66"/>
      <c r="F27" s="67"/>
      <c r="G27" s="68"/>
      <c r="H27" s="68"/>
      <c r="I27" s="69" t="n">
        <f aca="false">SUM(I21:I26)</f>
        <v>0</v>
      </c>
    </row>
    <row r="29" customFormat="false" ht="15" hidden="false" customHeight="false" outlineLevel="0" collapsed="false">
      <c r="A29" s="70" t="s">
        <v>90</v>
      </c>
      <c r="B29" s="70"/>
      <c r="C29" s="70"/>
      <c r="D29" s="70"/>
      <c r="E29" s="70"/>
      <c r="F29" s="71" t="n">
        <f aca="false">I18+I27</f>
        <v>0</v>
      </c>
      <c r="G29" s="71"/>
      <c r="H29" s="71"/>
      <c r="I29" s="71"/>
    </row>
    <row r="33" customFormat="false" ht="15" hidden="false" customHeight="false" outlineLevel="0" collapsed="false">
      <c r="A33" s="58" t="s">
        <v>91</v>
      </c>
      <c r="B33" s="58"/>
      <c r="C33" s="58"/>
      <c r="D33" s="58"/>
      <c r="E33" s="58"/>
    </row>
    <row r="34" customFormat="false" ht="15" hidden="false" customHeight="false" outlineLevel="0" collapsed="false">
      <c r="A34" s="59" t="s">
        <v>92</v>
      </c>
      <c r="B34" s="59"/>
      <c r="C34" s="59"/>
      <c r="D34" s="59"/>
      <c r="E34" s="59"/>
      <c r="F34" s="60" t="s">
        <v>78</v>
      </c>
      <c r="G34" s="60" t="s">
        <v>79</v>
      </c>
      <c r="H34" s="60" t="s">
        <v>80</v>
      </c>
      <c r="I34" s="60" t="s">
        <v>78</v>
      </c>
    </row>
    <row r="35" customFormat="false" ht="15" hidden="false" customHeight="false" outlineLevel="0" collapsed="false">
      <c r="A35" s="64"/>
      <c r="B35" s="64"/>
      <c r="C35" s="64"/>
      <c r="D35" s="64"/>
      <c r="E35" s="64"/>
      <c r="F35" s="65" t="n">
        <v>0</v>
      </c>
      <c r="G35" s="10"/>
      <c r="H35" s="10"/>
      <c r="I35" s="65" t="n">
        <f aca="false">F35</f>
        <v>0</v>
      </c>
    </row>
    <row r="36" customFormat="false" ht="15" hidden="false" customHeight="false" outlineLevel="0" collapsed="false">
      <c r="A36" s="66" t="s">
        <v>93</v>
      </c>
      <c r="B36" s="66"/>
      <c r="C36" s="66"/>
      <c r="D36" s="66"/>
      <c r="E36" s="66"/>
      <c r="F36" s="67"/>
      <c r="G36" s="68"/>
      <c r="H36" s="68"/>
      <c r="I36" s="69" t="n">
        <f aca="false">SUM(I35)</f>
        <v>0</v>
      </c>
    </row>
  </sheetData>
  <mergeCells count="51">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06292"/>
    <pageSetUpPr fitToPage="true"/>
  </sheetPr>
  <dimension ref="A1:BX3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12.1484375" defaultRowHeight="15" customHeight="true" zeroHeight="false" outlineLevelRow="0" outlineLevelCol="0"/>
  <cols>
    <col collapsed="false" customWidth="true" hidden="false" outlineLevel="0" max="1" min="1" style="22" width="4"/>
    <col collapsed="false" customWidth="true" hidden="false" outlineLevel="0" max="2" min="2" style="22" width="9.43"/>
    <col collapsed="false" customWidth="true" hidden="false" outlineLevel="0" max="3" min="3" style="22" width="13.55"/>
    <col collapsed="false" customWidth="true" hidden="false" outlineLevel="0" max="4" min="4" style="103" width="42.86"/>
    <col collapsed="false" customWidth="true" hidden="false" outlineLevel="0" max="5" min="5" style="22" width="21.69"/>
    <col collapsed="false" customWidth="true" hidden="false" outlineLevel="0" max="6" min="6" style="22" width="4.29"/>
    <col collapsed="false" customWidth="true" hidden="false" outlineLevel="0" max="7" min="7" style="104" width="10.08"/>
    <col collapsed="false" customWidth="true" hidden="false" outlineLevel="0" max="8" min="8" style="22" width="12"/>
    <col collapsed="false" customWidth="true" hidden="false" outlineLevel="0" max="11" min="9" style="22" width="15.71"/>
    <col collapsed="false" customWidth="true" hidden="false" outlineLevel="0" max="12" min="12" style="22" width="7.69"/>
    <col collapsed="false" customWidth="true" hidden="false" outlineLevel="0" max="13" min="13" style="22" width="9.65"/>
    <col collapsed="false" customWidth="true" hidden="false" outlineLevel="0" max="14" min="14" style="22" width="13.42"/>
    <col collapsed="false" customWidth="false" hidden="true" outlineLevel="0" max="75" min="25" style="22" width="12.15"/>
    <col collapsed="false" customWidth="true" hidden="true" outlineLevel="0" max="76" min="76" style="22" width="78.57"/>
    <col collapsed="false" customWidth="false" hidden="true" outlineLevel="0" max="78" min="77" style="22" width="12.15"/>
  </cols>
  <sheetData>
    <row r="1" customFormat="false" ht="39.7" hidden="false" customHeight="true" outlineLevel="0" collapsed="false">
      <c r="A1" s="106" t="s">
        <v>791</v>
      </c>
      <c r="B1" s="106"/>
      <c r="C1" s="106"/>
      <c r="D1" s="106"/>
      <c r="E1" s="106"/>
      <c r="F1" s="106"/>
      <c r="G1" s="106"/>
      <c r="H1" s="106"/>
      <c r="I1" s="106"/>
      <c r="J1" s="106"/>
      <c r="K1" s="106"/>
      <c r="L1" s="106"/>
      <c r="M1" s="106"/>
      <c r="N1" s="106"/>
      <c r="AS1" s="107" t="n">
        <f aca="false">SUM(AJ1:AJ2)</f>
        <v>0</v>
      </c>
      <c r="AT1" s="107" t="n">
        <f aca="false">SUM(AK1:AK2)</f>
        <v>0</v>
      </c>
      <c r="AU1" s="107" t="n">
        <f aca="false">SUM(AL1:AL2)</f>
        <v>0</v>
      </c>
    </row>
    <row r="2" customFormat="false" ht="15" hidden="false" customHeight="true" outlineLevel="0" collapsed="false">
      <c r="A2" s="3" t="s">
        <v>1</v>
      </c>
      <c r="B2" s="3"/>
      <c r="C2" s="4" t="str">
        <f aca="false">'Stavební rozpočet'!C2</f>
        <v>Přeměna sídlištních ploch – II. Etapa _ Fontána Jablko</v>
      </c>
      <c r="D2" s="4"/>
      <c r="E2" s="108" t="s">
        <v>95</v>
      </c>
      <c r="F2" s="5" t="str">
        <f aca="false">'Stavební rozpočet'!F2</f>
        <v> </v>
      </c>
      <c r="G2" s="5"/>
      <c r="H2" s="5" t="s">
        <v>2</v>
      </c>
      <c r="I2" s="73" t="str">
        <f aca="false">'Stavební rozpočet'!I2</f>
        <v>Městská část Praha 12, Generála Šišky 2375/6, 143</v>
      </c>
      <c r="J2" s="73"/>
      <c r="K2" s="73"/>
      <c r="L2" s="73"/>
      <c r="M2" s="73"/>
      <c r="N2" s="73"/>
    </row>
    <row r="3" customFormat="false" ht="15" hidden="false" customHeight="false" outlineLevel="0" collapsed="false">
      <c r="A3" s="3"/>
      <c r="B3" s="3"/>
      <c r="C3" s="4"/>
      <c r="D3" s="4"/>
      <c r="E3" s="108"/>
      <c r="F3" s="108"/>
      <c r="G3" s="5"/>
      <c r="H3" s="5"/>
      <c r="I3" s="5"/>
      <c r="J3" s="73"/>
      <c r="K3" s="73"/>
      <c r="L3" s="73"/>
      <c r="M3" s="73"/>
      <c r="N3" s="73"/>
    </row>
    <row r="4" customFormat="false" ht="15" hidden="false" customHeight="true" outlineLevel="0" collapsed="false">
      <c r="A4" s="8" t="s">
        <v>5</v>
      </c>
      <c r="B4" s="8"/>
      <c r="C4" s="9" t="str">
        <f aca="false">'Stavební rozpočet'!C4</f>
        <v>Stavební úpravy veřejného prostranství _Fontána Jablko</v>
      </c>
      <c r="D4" s="9"/>
      <c r="E4" s="11" t="s">
        <v>10</v>
      </c>
      <c r="F4" s="9" t="str">
        <f aca="false">'Stavební rozpočet'!F4</f>
        <v> </v>
      </c>
      <c r="G4" s="9"/>
      <c r="H4" s="9" t="s">
        <v>6</v>
      </c>
      <c r="I4" s="74" t="str">
        <f aca="false">'Stavební rozpočet'!I4</f>
        <v>HUA HUA ARCHITECTS s.r.o., Porážka 459/2, 602 00 Brno</v>
      </c>
      <c r="J4" s="74"/>
      <c r="K4" s="74"/>
      <c r="L4" s="74"/>
      <c r="M4" s="74"/>
      <c r="N4" s="74"/>
    </row>
    <row r="5" customFormat="false" ht="15" hidden="false" customHeight="false" outlineLevel="0" collapsed="false">
      <c r="A5" s="8"/>
      <c r="B5" s="8"/>
      <c r="C5" s="9"/>
      <c r="D5" s="9"/>
      <c r="E5" s="11"/>
      <c r="F5" s="11"/>
      <c r="G5" s="9"/>
      <c r="H5" s="9"/>
      <c r="I5" s="9"/>
      <c r="J5" s="74"/>
      <c r="K5" s="74"/>
      <c r="L5" s="74"/>
      <c r="M5" s="74"/>
      <c r="N5" s="74"/>
    </row>
    <row r="6" customFormat="false" ht="15" hidden="false" customHeight="true" outlineLevel="0" collapsed="false">
      <c r="A6" s="8" t="s">
        <v>8</v>
      </c>
      <c r="B6" s="8"/>
      <c r="C6" s="9" t="str">
        <f aca="false">'Stavební rozpočet'!C6</f>
        <v>Praha (554782),Modřany (728616), par.č. 4400/448</v>
      </c>
      <c r="D6" s="9"/>
      <c r="E6" s="11" t="s">
        <v>11</v>
      </c>
      <c r="F6" s="9" t="str">
        <f aca="false">'Stavební rozpočet'!F6</f>
        <v> </v>
      </c>
      <c r="G6" s="9"/>
      <c r="H6" s="9" t="s">
        <v>9</v>
      </c>
      <c r="I6" s="74" t="str">
        <f aca="false">'Stavební rozpočet'!I6</f>
        <v> </v>
      </c>
      <c r="J6" s="74"/>
      <c r="K6" s="74"/>
      <c r="L6" s="74"/>
      <c r="M6" s="74"/>
      <c r="N6" s="74"/>
    </row>
    <row r="7" customFormat="false" ht="15" hidden="false" customHeight="false" outlineLevel="0" collapsed="false">
      <c r="A7" s="8"/>
      <c r="B7" s="8"/>
      <c r="C7" s="9"/>
      <c r="D7" s="9"/>
      <c r="E7" s="11"/>
      <c r="F7" s="11"/>
      <c r="G7" s="9"/>
      <c r="H7" s="9"/>
      <c r="I7" s="9"/>
      <c r="J7" s="74"/>
      <c r="K7" s="74"/>
      <c r="L7" s="74"/>
      <c r="M7" s="74"/>
      <c r="N7" s="74"/>
    </row>
    <row r="8" customFormat="false" ht="15" hidden="false" customHeight="true" outlineLevel="0" collapsed="false">
      <c r="A8" s="8" t="s">
        <v>13</v>
      </c>
      <c r="B8" s="8"/>
      <c r="C8" s="9" t="str">
        <f aca="false">'Stavební rozpočet'!C8</f>
        <v>8225733</v>
      </c>
      <c r="D8" s="9"/>
      <c r="E8" s="11" t="s">
        <v>96</v>
      </c>
      <c r="F8" s="9" t="str">
        <f aca="false">'Stavební rozpočet'!F8</f>
        <v>08.01.2026</v>
      </c>
      <c r="G8" s="9"/>
      <c r="H8" s="9" t="s">
        <v>14</v>
      </c>
      <c r="I8" s="74" t="str">
        <f aca="false">'Stavební rozpočet'!I8</f>
        <v>Bohuslav Hemala</v>
      </c>
      <c r="J8" s="74"/>
      <c r="K8" s="74"/>
      <c r="L8" s="74"/>
      <c r="M8" s="74"/>
      <c r="N8" s="74"/>
    </row>
    <row r="9" customFormat="false" ht="15" hidden="false" customHeight="false" outlineLevel="0" collapsed="false">
      <c r="A9" s="8"/>
      <c r="B9" s="8"/>
      <c r="C9" s="9"/>
      <c r="D9" s="9"/>
      <c r="E9" s="11"/>
      <c r="F9" s="11"/>
      <c r="G9" s="9"/>
      <c r="H9" s="9"/>
      <c r="I9" s="9"/>
      <c r="J9" s="74"/>
      <c r="K9" s="74"/>
      <c r="L9" s="74"/>
      <c r="M9" s="74"/>
      <c r="N9" s="74"/>
    </row>
    <row r="10" customFormat="false" ht="15" hidden="false" customHeight="true" outlineLevel="0" collapsed="false">
      <c r="A10" s="109" t="s">
        <v>124</v>
      </c>
      <c r="B10" s="110" t="s">
        <v>100</v>
      </c>
      <c r="C10" s="110" t="s">
        <v>125</v>
      </c>
      <c r="D10" s="111" t="s">
        <v>101</v>
      </c>
      <c r="E10" s="111"/>
      <c r="F10" s="110" t="s">
        <v>126</v>
      </c>
      <c r="G10" s="112" t="s">
        <v>127</v>
      </c>
      <c r="H10" s="113" t="s">
        <v>128</v>
      </c>
      <c r="I10" s="77" t="s">
        <v>98</v>
      </c>
      <c r="J10" s="77"/>
      <c r="K10" s="77"/>
      <c r="L10" s="114" t="s">
        <v>99</v>
      </c>
      <c r="M10" s="114"/>
      <c r="N10" s="115" t="s">
        <v>129</v>
      </c>
      <c r="BK10" s="116" t="s">
        <v>130</v>
      </c>
      <c r="BL10" s="117" t="s">
        <v>131</v>
      </c>
      <c r="BW10" s="117" t="s">
        <v>132</v>
      </c>
    </row>
    <row r="11" customFormat="false" ht="15" hidden="false" customHeight="true" outlineLevel="0" collapsed="false">
      <c r="A11" s="118" t="s">
        <v>97</v>
      </c>
      <c r="B11" s="119" t="s">
        <v>97</v>
      </c>
      <c r="C11" s="119" t="s">
        <v>97</v>
      </c>
      <c r="D11" s="120" t="s">
        <v>133</v>
      </c>
      <c r="E11" s="120"/>
      <c r="F11" s="119" t="s">
        <v>97</v>
      </c>
      <c r="G11" s="121" t="s">
        <v>97</v>
      </c>
      <c r="H11" s="122" t="s">
        <v>134</v>
      </c>
      <c r="I11" s="81" t="s">
        <v>102</v>
      </c>
      <c r="J11" s="82" t="s">
        <v>40</v>
      </c>
      <c r="K11" s="83" t="s">
        <v>103</v>
      </c>
      <c r="L11" s="82" t="s">
        <v>135</v>
      </c>
      <c r="M11" s="122" t="s">
        <v>103</v>
      </c>
      <c r="N11" s="81" t="s">
        <v>136</v>
      </c>
      <c r="Z11" s="116" t="s">
        <v>137</v>
      </c>
      <c r="AA11" s="116" t="s">
        <v>138</v>
      </c>
      <c r="AB11" s="116" t="s">
        <v>139</v>
      </c>
      <c r="AC11" s="116" t="s">
        <v>140</v>
      </c>
      <c r="AD11" s="116" t="s">
        <v>141</v>
      </c>
      <c r="AE11" s="116" t="s">
        <v>142</v>
      </c>
      <c r="AF11" s="116" t="s">
        <v>143</v>
      </c>
      <c r="AG11" s="116" t="s">
        <v>144</v>
      </c>
      <c r="AH11" s="116" t="s">
        <v>145</v>
      </c>
      <c r="BH11" s="116" t="s">
        <v>146</v>
      </c>
      <c r="BI11" s="116" t="s">
        <v>147</v>
      </c>
      <c r="BJ11" s="116" t="s">
        <v>148</v>
      </c>
    </row>
    <row r="12" customFormat="false" ht="19.85" hidden="false" customHeight="true" outlineLevel="0" collapsed="false">
      <c r="A12" s="95"/>
      <c r="B12" s="157" t="s">
        <v>111</v>
      </c>
      <c r="C12" s="157"/>
      <c r="D12" s="158" t="s">
        <v>112</v>
      </c>
      <c r="E12" s="158"/>
      <c r="F12" s="95" t="s">
        <v>97</v>
      </c>
      <c r="G12" s="159" t="s">
        <v>97</v>
      </c>
      <c r="H12" s="95" t="s">
        <v>97</v>
      </c>
      <c r="I12" s="160" t="n">
        <f aca="false">ROUND(SUM(I13,I16,I20,I22,I24,I30,I34),2)</f>
        <v>0</v>
      </c>
      <c r="J12" s="160" t="n">
        <f aca="false">ROUND(SUM(J13,J16,J20,J22,J24,J30,J34),2)</f>
        <v>0</v>
      </c>
      <c r="K12" s="160" t="n">
        <f aca="false">ROUND(SUM(K13,K16,K20,K22,K24,K30,K34),2)</f>
        <v>0</v>
      </c>
      <c r="L12" s="161"/>
      <c r="M12" s="160" t="n">
        <f aca="false">SUM(M13,M16,M20,M22,M24,M30,M34)</f>
        <v>4.75596055</v>
      </c>
      <c r="N12" s="161"/>
    </row>
    <row r="13" customFormat="false" ht="15" hidden="false" customHeight="true" outlineLevel="0" collapsed="false">
      <c r="A13" s="128"/>
      <c r="B13" s="129" t="s">
        <v>111</v>
      </c>
      <c r="C13" s="129" t="s">
        <v>206</v>
      </c>
      <c r="D13" s="130" t="s">
        <v>234</v>
      </c>
      <c r="E13" s="130"/>
      <c r="F13" s="128" t="s">
        <v>97</v>
      </c>
      <c r="G13" s="131" t="s">
        <v>97</v>
      </c>
      <c r="H13" s="128" t="s">
        <v>97</v>
      </c>
      <c r="I13" s="132" t="n">
        <f aca="false">ROUND(SUM(I14:I15),2)</f>
        <v>0</v>
      </c>
      <c r="J13" s="132" t="n">
        <f aca="false">ROUND(SUM(J14:J15),2)</f>
        <v>0</v>
      </c>
      <c r="K13" s="132" t="n">
        <f aca="false">ROUND(SUM(K14:K15),2)</f>
        <v>0</v>
      </c>
      <c r="L13" s="133"/>
      <c r="M13" s="132" t="n">
        <f aca="false">SUM(M14:M15)</f>
        <v>0</v>
      </c>
      <c r="N13" s="133"/>
      <c r="AI13" s="116" t="s">
        <v>111</v>
      </c>
      <c r="AS13" s="107" t="n">
        <f aca="false">SUM(AJ14:AJ15)</f>
        <v>0</v>
      </c>
      <c r="AT13" s="107" t="n">
        <f aca="false">SUM(AK14:AK15)</f>
        <v>0</v>
      </c>
      <c r="AU13" s="107" t="n">
        <f aca="false">SUM(AL14:AL15)</f>
        <v>0</v>
      </c>
    </row>
    <row r="14" customFormat="false" ht="15" hidden="false" customHeight="true" outlineLevel="0" collapsed="false">
      <c r="A14" s="134" t="s">
        <v>151</v>
      </c>
      <c r="B14" s="134" t="s">
        <v>111</v>
      </c>
      <c r="C14" s="134" t="s">
        <v>549</v>
      </c>
      <c r="D14" s="135" t="s">
        <v>550</v>
      </c>
      <c r="E14" s="135"/>
      <c r="F14" s="134" t="s">
        <v>189</v>
      </c>
      <c r="G14" s="136" t="n">
        <f aca="false">'Stavební rozpočet'!G154</f>
        <v>1.318</v>
      </c>
      <c r="H14" s="137" t="n">
        <f aca="false">'Stavební rozpočet'!H154</f>
        <v>0</v>
      </c>
      <c r="I14" s="137" t="n">
        <f aca="false">ROUND(G14*AO14,2)</f>
        <v>0</v>
      </c>
      <c r="J14" s="137" t="n">
        <f aca="false">ROUND(G14*AP14,2)</f>
        <v>0</v>
      </c>
      <c r="K14" s="137" t="n">
        <f aca="false">ROUND(G14*H14,2)</f>
        <v>0</v>
      </c>
      <c r="L14" s="137" t="n">
        <f aca="false">'Stavební rozpočet'!L154</f>
        <v>0</v>
      </c>
      <c r="M14" s="137" t="n">
        <f aca="false">G14*L14</f>
        <v>0</v>
      </c>
      <c r="N14" s="138" t="s">
        <v>155</v>
      </c>
      <c r="Z14" s="88" t="n">
        <f aca="false">ROUND(IF(AQ14="5",BJ14,0),2)</f>
        <v>0</v>
      </c>
      <c r="AB14" s="88" t="n">
        <f aca="false">ROUND(IF(AQ14="1",BH14,0),2)</f>
        <v>0</v>
      </c>
      <c r="AC14" s="88" t="n">
        <f aca="false">ROUND(IF(AQ14="1",BI14,0),2)</f>
        <v>0</v>
      </c>
      <c r="AD14" s="88" t="n">
        <f aca="false">ROUND(IF(AQ14="7",BH14,0),2)</f>
        <v>0</v>
      </c>
      <c r="AE14" s="88" t="n">
        <f aca="false">ROUND(IF(AQ14="7",BI14,0),2)</f>
        <v>0</v>
      </c>
      <c r="AF14" s="88" t="n">
        <f aca="false">ROUND(IF(AQ14="2",BH14,0),2)</f>
        <v>0</v>
      </c>
      <c r="AG14" s="88" t="n">
        <f aca="false">ROUND(IF(AQ14="2",BI14,0),2)</f>
        <v>0</v>
      </c>
      <c r="AH14" s="88" t="n">
        <f aca="false">ROUND(IF(AQ14="0",BJ14,0),2)</f>
        <v>0</v>
      </c>
      <c r="AI14" s="116" t="s">
        <v>111</v>
      </c>
      <c r="AJ14" s="88" t="n">
        <f aca="false">IF(AN14=0,K14,0)</f>
        <v>0</v>
      </c>
      <c r="AK14" s="88" t="n">
        <f aca="false">IF(AN14=12,K14,0)</f>
        <v>0</v>
      </c>
      <c r="AL14" s="88" t="n">
        <f aca="false">IF(AN14=21,K14,0)</f>
        <v>0</v>
      </c>
      <c r="AN14" s="88" t="n">
        <v>21</v>
      </c>
      <c r="AO14" s="88" t="n">
        <f aca="false">H14*0</f>
        <v>0</v>
      </c>
      <c r="AP14" s="88" t="n">
        <f aca="false">H14*(1-0)</f>
        <v>0</v>
      </c>
      <c r="AQ14" s="87" t="s">
        <v>151</v>
      </c>
      <c r="AV14" s="88" t="n">
        <f aca="false">ROUND(AW14+AX14,2)</f>
        <v>0</v>
      </c>
      <c r="AW14" s="88" t="n">
        <f aca="false">ROUND(G14*AO14,2)</f>
        <v>0</v>
      </c>
      <c r="AX14" s="88" t="n">
        <f aca="false">ROUND(G14*AP14,2)</f>
        <v>0</v>
      </c>
      <c r="AY14" s="87" t="s">
        <v>238</v>
      </c>
      <c r="AZ14" s="87" t="s">
        <v>551</v>
      </c>
      <c r="BA14" s="116" t="s">
        <v>552</v>
      </c>
      <c r="BC14" s="88" t="n">
        <f aca="false">AW14+AX14</f>
        <v>0</v>
      </c>
      <c r="BD14" s="88" t="n">
        <f aca="false">H14/(100-BE14)*100</f>
        <v>0</v>
      </c>
      <c r="BE14" s="88" t="n">
        <v>0</v>
      </c>
      <c r="BF14" s="88" t="n">
        <f aca="false">M14</f>
        <v>0</v>
      </c>
      <c r="BH14" s="88" t="n">
        <f aca="false">G14*AO14</f>
        <v>0</v>
      </c>
      <c r="BI14" s="88" t="n">
        <f aca="false">G14*AP14</f>
        <v>0</v>
      </c>
      <c r="BJ14" s="88" t="n">
        <f aca="false">G14*H14</f>
        <v>0</v>
      </c>
      <c r="BK14" s="87" t="s">
        <v>159</v>
      </c>
      <c r="BL14" s="88" t="n">
        <v>13</v>
      </c>
      <c r="BW14" s="88" t="n">
        <v>21</v>
      </c>
      <c r="BX14" s="9" t="s">
        <v>550</v>
      </c>
    </row>
    <row r="15" customFormat="false" ht="15" hidden="false" customHeight="true" outlineLevel="0" collapsed="false">
      <c r="A15" s="134" t="s">
        <v>160</v>
      </c>
      <c r="B15" s="134" t="s">
        <v>111</v>
      </c>
      <c r="C15" s="134" t="s">
        <v>554</v>
      </c>
      <c r="D15" s="135" t="s">
        <v>555</v>
      </c>
      <c r="E15" s="135"/>
      <c r="F15" s="134" t="s">
        <v>189</v>
      </c>
      <c r="G15" s="136" t="n">
        <f aca="false">'Stavební rozpočet'!G155</f>
        <v>1.318</v>
      </c>
      <c r="H15" s="137" t="n">
        <f aca="false">'Stavební rozpočet'!H155</f>
        <v>0</v>
      </c>
      <c r="I15" s="137" t="n">
        <f aca="false">ROUND(G15*AO15,2)</f>
        <v>0</v>
      </c>
      <c r="J15" s="137" t="n">
        <f aca="false">ROUND(G15*AP15,2)</f>
        <v>0</v>
      </c>
      <c r="K15" s="137" t="n">
        <f aca="false">ROUND(G15*H15,2)</f>
        <v>0</v>
      </c>
      <c r="L15" s="137" t="n">
        <f aca="false">'Stavební rozpočet'!L155</f>
        <v>0</v>
      </c>
      <c r="M15" s="137" t="n">
        <f aca="false">G15*L15</f>
        <v>0</v>
      </c>
      <c r="N15" s="138" t="s">
        <v>155</v>
      </c>
      <c r="Z15" s="88" t="n">
        <f aca="false">ROUND(IF(AQ15="5",BJ15,0),2)</f>
        <v>0</v>
      </c>
      <c r="AB15" s="88" t="n">
        <f aca="false">ROUND(IF(AQ15="1",BH15,0),2)</f>
        <v>0</v>
      </c>
      <c r="AC15" s="88" t="n">
        <f aca="false">ROUND(IF(AQ15="1",BI15,0),2)</f>
        <v>0</v>
      </c>
      <c r="AD15" s="88" t="n">
        <f aca="false">ROUND(IF(AQ15="7",BH15,0),2)</f>
        <v>0</v>
      </c>
      <c r="AE15" s="88" t="n">
        <f aca="false">ROUND(IF(AQ15="7",BI15,0),2)</f>
        <v>0</v>
      </c>
      <c r="AF15" s="88" t="n">
        <f aca="false">ROUND(IF(AQ15="2",BH15,0),2)</f>
        <v>0</v>
      </c>
      <c r="AG15" s="88" t="n">
        <f aca="false">ROUND(IF(AQ15="2",BI15,0),2)</f>
        <v>0</v>
      </c>
      <c r="AH15" s="88" t="n">
        <f aca="false">ROUND(IF(AQ15="0",BJ15,0),2)</f>
        <v>0</v>
      </c>
      <c r="AI15" s="116" t="s">
        <v>111</v>
      </c>
      <c r="AJ15" s="88" t="n">
        <f aca="false">IF(AN15=0,K15,0)</f>
        <v>0</v>
      </c>
      <c r="AK15" s="88" t="n">
        <f aca="false">IF(AN15=12,K15,0)</f>
        <v>0</v>
      </c>
      <c r="AL15" s="88" t="n">
        <f aca="false">IF(AN15=21,K15,0)</f>
        <v>0</v>
      </c>
      <c r="AN15" s="88" t="n">
        <v>21</v>
      </c>
      <c r="AO15" s="88" t="n">
        <f aca="false">H15*0</f>
        <v>0</v>
      </c>
      <c r="AP15" s="88" t="n">
        <f aca="false">H15*(1-0)</f>
        <v>0</v>
      </c>
      <c r="AQ15" s="87" t="s">
        <v>151</v>
      </c>
      <c r="AV15" s="88" t="n">
        <f aca="false">ROUND(AW15+AX15,2)</f>
        <v>0</v>
      </c>
      <c r="AW15" s="88" t="n">
        <f aca="false">ROUND(G15*AO15,2)</f>
        <v>0</v>
      </c>
      <c r="AX15" s="88" t="n">
        <f aca="false">ROUND(G15*AP15,2)</f>
        <v>0</v>
      </c>
      <c r="AY15" s="87" t="s">
        <v>238</v>
      </c>
      <c r="AZ15" s="87" t="s">
        <v>551</v>
      </c>
      <c r="BA15" s="116" t="s">
        <v>552</v>
      </c>
      <c r="BC15" s="88" t="n">
        <f aca="false">AW15+AX15</f>
        <v>0</v>
      </c>
      <c r="BD15" s="88" t="n">
        <f aca="false">H15/(100-BE15)*100</f>
        <v>0</v>
      </c>
      <c r="BE15" s="88" t="n">
        <v>0</v>
      </c>
      <c r="BF15" s="88" t="n">
        <f aca="false">M15</f>
        <v>0</v>
      </c>
      <c r="BH15" s="88" t="n">
        <f aca="false">G15*AO15</f>
        <v>0</v>
      </c>
      <c r="BI15" s="88" t="n">
        <f aca="false">G15*AP15</f>
        <v>0</v>
      </c>
      <c r="BJ15" s="88" t="n">
        <f aca="false">G15*H15</f>
        <v>0</v>
      </c>
      <c r="BK15" s="87" t="s">
        <v>159</v>
      </c>
      <c r="BL15" s="88" t="n">
        <v>13</v>
      </c>
      <c r="BW15" s="88" t="n">
        <v>21</v>
      </c>
      <c r="BX15" s="9" t="s">
        <v>555</v>
      </c>
    </row>
    <row r="16" customFormat="false" ht="15" hidden="false" customHeight="true" outlineLevel="0" collapsed="false">
      <c r="A16" s="128"/>
      <c r="B16" s="129" t="s">
        <v>111</v>
      </c>
      <c r="C16" s="129" t="s">
        <v>216</v>
      </c>
      <c r="D16" s="130" t="s">
        <v>556</v>
      </c>
      <c r="E16" s="130"/>
      <c r="F16" s="128" t="s">
        <v>97</v>
      </c>
      <c r="G16" s="131" t="s">
        <v>97</v>
      </c>
      <c r="H16" s="128" t="s">
        <v>97</v>
      </c>
      <c r="I16" s="132" t="n">
        <f aca="false">ROUND(SUM(I17:I19),2)</f>
        <v>0</v>
      </c>
      <c r="J16" s="132" t="n">
        <f aca="false">ROUND(SUM(J17:J19),2)</f>
        <v>0</v>
      </c>
      <c r="K16" s="132" t="n">
        <f aca="false">ROUND(SUM(K17:K19),2)</f>
        <v>0</v>
      </c>
      <c r="L16" s="133"/>
      <c r="M16" s="132" t="n">
        <f aca="false">SUM(M17:M19)</f>
        <v>0</v>
      </c>
      <c r="N16" s="133"/>
      <c r="AI16" s="116" t="s">
        <v>111</v>
      </c>
      <c r="AS16" s="107" t="n">
        <f aca="false">SUM(AJ17:AJ19)</f>
        <v>0</v>
      </c>
      <c r="AT16" s="107" t="n">
        <f aca="false">SUM(AK17:AK19)</f>
        <v>0</v>
      </c>
      <c r="AU16" s="107" t="n">
        <f aca="false">SUM(AL17:AL19)</f>
        <v>0</v>
      </c>
    </row>
    <row r="17" customFormat="false" ht="15" hidden="false" customHeight="true" outlineLevel="0" collapsed="false">
      <c r="A17" s="134" t="s">
        <v>164</v>
      </c>
      <c r="B17" s="134" t="s">
        <v>111</v>
      </c>
      <c r="C17" s="134" t="s">
        <v>263</v>
      </c>
      <c r="D17" s="135" t="s">
        <v>558</v>
      </c>
      <c r="E17" s="135"/>
      <c r="F17" s="134" t="s">
        <v>189</v>
      </c>
      <c r="G17" s="136" t="n">
        <f aca="false">'Stavební rozpočet'!G157</f>
        <v>1.318</v>
      </c>
      <c r="H17" s="137" t="n">
        <f aca="false">'Stavební rozpočet'!H157</f>
        <v>0</v>
      </c>
      <c r="I17" s="137" t="n">
        <f aca="false">ROUND(G17*AO17,2)</f>
        <v>0</v>
      </c>
      <c r="J17" s="137" t="n">
        <f aca="false">ROUND(G17*AP17,2)</f>
        <v>0</v>
      </c>
      <c r="K17" s="137" t="n">
        <f aca="false">ROUND(G17*H17,2)</f>
        <v>0</v>
      </c>
      <c r="L17" s="137" t="n">
        <f aca="false">'Stavební rozpočet'!L157</f>
        <v>0</v>
      </c>
      <c r="M17" s="137" t="n">
        <f aca="false">G17*L17</f>
        <v>0</v>
      </c>
      <c r="N17" s="138" t="s">
        <v>155</v>
      </c>
      <c r="Z17" s="88" t="n">
        <f aca="false">ROUND(IF(AQ17="5",BJ17,0),2)</f>
        <v>0</v>
      </c>
      <c r="AB17" s="88" t="n">
        <f aca="false">ROUND(IF(AQ17="1",BH17,0),2)</f>
        <v>0</v>
      </c>
      <c r="AC17" s="88" t="n">
        <f aca="false">ROUND(IF(AQ17="1",BI17,0),2)</f>
        <v>0</v>
      </c>
      <c r="AD17" s="88" t="n">
        <f aca="false">ROUND(IF(AQ17="7",BH17,0),2)</f>
        <v>0</v>
      </c>
      <c r="AE17" s="88" t="n">
        <f aca="false">ROUND(IF(AQ17="7",BI17,0),2)</f>
        <v>0</v>
      </c>
      <c r="AF17" s="88" t="n">
        <f aca="false">ROUND(IF(AQ17="2",BH17,0),2)</f>
        <v>0</v>
      </c>
      <c r="AG17" s="88" t="n">
        <f aca="false">ROUND(IF(AQ17="2",BI17,0),2)</f>
        <v>0</v>
      </c>
      <c r="AH17" s="88" t="n">
        <f aca="false">ROUND(IF(AQ17="0",BJ17,0),2)</f>
        <v>0</v>
      </c>
      <c r="AI17" s="116" t="s">
        <v>111</v>
      </c>
      <c r="AJ17" s="88" t="n">
        <f aca="false">IF(AN17=0,K17,0)</f>
        <v>0</v>
      </c>
      <c r="AK17" s="88" t="n">
        <f aca="false">IF(AN17=12,K17,0)</f>
        <v>0</v>
      </c>
      <c r="AL17" s="88" t="n">
        <f aca="false">IF(AN17=21,K17,0)</f>
        <v>0</v>
      </c>
      <c r="AN17" s="88" t="n">
        <v>21</v>
      </c>
      <c r="AO17" s="88" t="n">
        <f aca="false">H17*0</f>
        <v>0</v>
      </c>
      <c r="AP17" s="88" t="n">
        <f aca="false">H17*(1-0)</f>
        <v>0</v>
      </c>
      <c r="AQ17" s="87" t="s">
        <v>151</v>
      </c>
      <c r="AV17" s="88" t="n">
        <f aca="false">ROUND(AW17+AX17,2)</f>
        <v>0</v>
      </c>
      <c r="AW17" s="88" t="n">
        <f aca="false">ROUND(G17*AO17,2)</f>
        <v>0</v>
      </c>
      <c r="AX17" s="88" t="n">
        <f aca="false">ROUND(G17*AP17,2)</f>
        <v>0</v>
      </c>
      <c r="AY17" s="87" t="s">
        <v>559</v>
      </c>
      <c r="AZ17" s="87" t="s">
        <v>551</v>
      </c>
      <c r="BA17" s="116" t="s">
        <v>552</v>
      </c>
      <c r="BC17" s="88" t="n">
        <f aca="false">AW17+AX17</f>
        <v>0</v>
      </c>
      <c r="BD17" s="88" t="n">
        <f aca="false">H17/(100-BE17)*100</f>
        <v>0</v>
      </c>
      <c r="BE17" s="88" t="n">
        <v>0</v>
      </c>
      <c r="BF17" s="88" t="n">
        <f aca="false">M17</f>
        <v>0</v>
      </c>
      <c r="BH17" s="88" t="n">
        <f aca="false">G17*AO17</f>
        <v>0</v>
      </c>
      <c r="BI17" s="88" t="n">
        <f aca="false">G17*AP17</f>
        <v>0</v>
      </c>
      <c r="BJ17" s="88" t="n">
        <f aca="false">G17*H17</f>
        <v>0</v>
      </c>
      <c r="BK17" s="87" t="s">
        <v>159</v>
      </c>
      <c r="BL17" s="88" t="n">
        <v>16</v>
      </c>
      <c r="BW17" s="88" t="n">
        <v>21</v>
      </c>
      <c r="BX17" s="9" t="s">
        <v>558</v>
      </c>
    </row>
    <row r="18" customFormat="false" ht="15" hidden="false" customHeight="true" outlineLevel="0" collapsed="false">
      <c r="A18" s="134" t="s">
        <v>166</v>
      </c>
      <c r="B18" s="134" t="s">
        <v>111</v>
      </c>
      <c r="C18" s="134" t="s">
        <v>266</v>
      </c>
      <c r="D18" s="135" t="s">
        <v>267</v>
      </c>
      <c r="E18" s="135"/>
      <c r="F18" s="134" t="s">
        <v>189</v>
      </c>
      <c r="G18" s="136" t="n">
        <f aca="false">'Stavební rozpočet'!G158</f>
        <v>19.77</v>
      </c>
      <c r="H18" s="137" t="n">
        <f aca="false">'Stavební rozpočet'!H158</f>
        <v>0</v>
      </c>
      <c r="I18" s="137" t="n">
        <f aca="false">ROUND(G18*AO18,2)</f>
        <v>0</v>
      </c>
      <c r="J18" s="137" t="n">
        <f aca="false">ROUND(G18*AP18,2)</f>
        <v>0</v>
      </c>
      <c r="K18" s="137" t="n">
        <f aca="false">ROUND(G18*H18,2)</f>
        <v>0</v>
      </c>
      <c r="L18" s="137" t="n">
        <f aca="false">'Stavební rozpočet'!L158</f>
        <v>0</v>
      </c>
      <c r="M18" s="137" t="n">
        <f aca="false">G18*L18</f>
        <v>0</v>
      </c>
      <c r="N18" s="138" t="s">
        <v>155</v>
      </c>
      <c r="Z18" s="88" t="n">
        <f aca="false">ROUND(IF(AQ18="5",BJ18,0),2)</f>
        <v>0</v>
      </c>
      <c r="AB18" s="88" t="n">
        <f aca="false">ROUND(IF(AQ18="1",BH18,0),2)</f>
        <v>0</v>
      </c>
      <c r="AC18" s="88" t="n">
        <f aca="false">ROUND(IF(AQ18="1",BI18,0),2)</f>
        <v>0</v>
      </c>
      <c r="AD18" s="88" t="n">
        <f aca="false">ROUND(IF(AQ18="7",BH18,0),2)</f>
        <v>0</v>
      </c>
      <c r="AE18" s="88" t="n">
        <f aca="false">ROUND(IF(AQ18="7",BI18,0),2)</f>
        <v>0</v>
      </c>
      <c r="AF18" s="88" t="n">
        <f aca="false">ROUND(IF(AQ18="2",BH18,0),2)</f>
        <v>0</v>
      </c>
      <c r="AG18" s="88" t="n">
        <f aca="false">ROUND(IF(AQ18="2",BI18,0),2)</f>
        <v>0</v>
      </c>
      <c r="AH18" s="88" t="n">
        <f aca="false">ROUND(IF(AQ18="0",BJ18,0),2)</f>
        <v>0</v>
      </c>
      <c r="AI18" s="116" t="s">
        <v>111</v>
      </c>
      <c r="AJ18" s="88" t="n">
        <f aca="false">IF(AN18=0,K18,0)</f>
        <v>0</v>
      </c>
      <c r="AK18" s="88" t="n">
        <f aca="false">IF(AN18=12,K18,0)</f>
        <v>0</v>
      </c>
      <c r="AL18" s="88" t="n">
        <f aca="false">IF(AN18=21,K18,0)</f>
        <v>0</v>
      </c>
      <c r="AN18" s="88" t="n">
        <v>21</v>
      </c>
      <c r="AO18" s="88" t="n">
        <f aca="false">H18*0</f>
        <v>0</v>
      </c>
      <c r="AP18" s="88" t="n">
        <f aca="false">H18*(1-0)</f>
        <v>0</v>
      </c>
      <c r="AQ18" s="87" t="s">
        <v>151</v>
      </c>
      <c r="AV18" s="88" t="n">
        <f aca="false">ROUND(AW18+AX18,2)</f>
        <v>0</v>
      </c>
      <c r="AW18" s="88" t="n">
        <f aca="false">ROUND(G18*AO18,2)</f>
        <v>0</v>
      </c>
      <c r="AX18" s="88" t="n">
        <f aca="false">ROUND(G18*AP18,2)</f>
        <v>0</v>
      </c>
      <c r="AY18" s="87" t="s">
        <v>559</v>
      </c>
      <c r="AZ18" s="87" t="s">
        <v>551</v>
      </c>
      <c r="BA18" s="116" t="s">
        <v>552</v>
      </c>
      <c r="BC18" s="88" t="n">
        <f aca="false">AW18+AX18</f>
        <v>0</v>
      </c>
      <c r="BD18" s="88" t="n">
        <f aca="false">H18/(100-BE18)*100</f>
        <v>0</v>
      </c>
      <c r="BE18" s="88" t="n">
        <v>0</v>
      </c>
      <c r="BF18" s="88" t="n">
        <f aca="false">M18</f>
        <v>0</v>
      </c>
      <c r="BH18" s="88" t="n">
        <f aca="false">G18*AO18</f>
        <v>0</v>
      </c>
      <c r="BI18" s="88" t="n">
        <f aca="false">G18*AP18</f>
        <v>0</v>
      </c>
      <c r="BJ18" s="88" t="n">
        <f aca="false">G18*H18</f>
        <v>0</v>
      </c>
      <c r="BK18" s="87" t="s">
        <v>159</v>
      </c>
      <c r="BL18" s="88" t="n">
        <v>16</v>
      </c>
      <c r="BW18" s="88" t="n">
        <v>21</v>
      </c>
      <c r="BX18" s="9" t="s">
        <v>267</v>
      </c>
    </row>
    <row r="19" customFormat="false" ht="15" hidden="false" customHeight="true" outlineLevel="0" collapsed="false">
      <c r="A19" s="134" t="s">
        <v>170</v>
      </c>
      <c r="B19" s="134" t="s">
        <v>111</v>
      </c>
      <c r="C19" s="134" t="s">
        <v>272</v>
      </c>
      <c r="D19" s="135" t="s">
        <v>562</v>
      </c>
      <c r="E19" s="135"/>
      <c r="F19" s="134" t="s">
        <v>189</v>
      </c>
      <c r="G19" s="136" t="n">
        <f aca="false">'Stavební rozpočet'!G159</f>
        <v>1.318</v>
      </c>
      <c r="H19" s="137" t="n">
        <f aca="false">'Stavební rozpočet'!H159</f>
        <v>0</v>
      </c>
      <c r="I19" s="137" t="n">
        <f aca="false">ROUND(G19*AO19,2)</f>
        <v>0</v>
      </c>
      <c r="J19" s="137" t="n">
        <f aca="false">ROUND(G19*AP19,2)</f>
        <v>0</v>
      </c>
      <c r="K19" s="137" t="n">
        <f aca="false">ROUND(G19*H19,2)</f>
        <v>0</v>
      </c>
      <c r="L19" s="137" t="n">
        <f aca="false">'Stavební rozpočet'!L159</f>
        <v>0</v>
      </c>
      <c r="M19" s="137" t="n">
        <f aca="false">G19*L19</f>
        <v>0</v>
      </c>
      <c r="N19" s="138" t="s">
        <v>155</v>
      </c>
      <c r="Z19" s="88" t="n">
        <f aca="false">ROUND(IF(AQ19="5",BJ19,0),2)</f>
        <v>0</v>
      </c>
      <c r="AB19" s="88" t="n">
        <f aca="false">ROUND(IF(AQ19="1",BH19,0),2)</f>
        <v>0</v>
      </c>
      <c r="AC19" s="88" t="n">
        <f aca="false">ROUND(IF(AQ19="1",BI19,0),2)</f>
        <v>0</v>
      </c>
      <c r="AD19" s="88" t="n">
        <f aca="false">ROUND(IF(AQ19="7",BH19,0),2)</f>
        <v>0</v>
      </c>
      <c r="AE19" s="88" t="n">
        <f aca="false">ROUND(IF(AQ19="7",BI19,0),2)</f>
        <v>0</v>
      </c>
      <c r="AF19" s="88" t="n">
        <f aca="false">ROUND(IF(AQ19="2",BH19,0),2)</f>
        <v>0</v>
      </c>
      <c r="AG19" s="88" t="n">
        <f aca="false">ROUND(IF(AQ19="2",BI19,0),2)</f>
        <v>0</v>
      </c>
      <c r="AH19" s="88" t="n">
        <f aca="false">ROUND(IF(AQ19="0",BJ19,0),2)</f>
        <v>0</v>
      </c>
      <c r="AI19" s="116" t="s">
        <v>111</v>
      </c>
      <c r="AJ19" s="88" t="n">
        <f aca="false">IF(AN19=0,K19,0)</f>
        <v>0</v>
      </c>
      <c r="AK19" s="88" t="n">
        <f aca="false">IF(AN19=12,K19,0)</f>
        <v>0</v>
      </c>
      <c r="AL19" s="88" t="n">
        <f aca="false">IF(AN19=21,K19,0)</f>
        <v>0</v>
      </c>
      <c r="AN19" s="88" t="n">
        <v>21</v>
      </c>
      <c r="AO19" s="88" t="n">
        <f aca="false">H19*0</f>
        <v>0</v>
      </c>
      <c r="AP19" s="88" t="n">
        <f aca="false">H19*(1-0)</f>
        <v>0</v>
      </c>
      <c r="AQ19" s="87" t="s">
        <v>151</v>
      </c>
      <c r="AV19" s="88" t="n">
        <f aca="false">ROUND(AW19+AX19,2)</f>
        <v>0</v>
      </c>
      <c r="AW19" s="88" t="n">
        <f aca="false">ROUND(G19*AO19,2)</f>
        <v>0</v>
      </c>
      <c r="AX19" s="88" t="n">
        <f aca="false">ROUND(G19*AP19,2)</f>
        <v>0</v>
      </c>
      <c r="AY19" s="87" t="s">
        <v>559</v>
      </c>
      <c r="AZ19" s="87" t="s">
        <v>551</v>
      </c>
      <c r="BA19" s="116" t="s">
        <v>552</v>
      </c>
      <c r="BC19" s="88" t="n">
        <f aca="false">AW19+AX19</f>
        <v>0</v>
      </c>
      <c r="BD19" s="88" t="n">
        <f aca="false">H19/(100-BE19)*100</f>
        <v>0</v>
      </c>
      <c r="BE19" s="88" t="n">
        <v>0</v>
      </c>
      <c r="BF19" s="88" t="n">
        <f aca="false">M19</f>
        <v>0</v>
      </c>
      <c r="BH19" s="88" t="n">
        <f aca="false">G19*AO19</f>
        <v>0</v>
      </c>
      <c r="BI19" s="88" t="n">
        <f aca="false">G19*AP19</f>
        <v>0</v>
      </c>
      <c r="BJ19" s="88" t="n">
        <f aca="false">G19*H19</f>
        <v>0</v>
      </c>
      <c r="BK19" s="87" t="s">
        <v>159</v>
      </c>
      <c r="BL19" s="88" t="n">
        <v>16</v>
      </c>
      <c r="BW19" s="88" t="n">
        <v>21</v>
      </c>
      <c r="BX19" s="9" t="s">
        <v>562</v>
      </c>
    </row>
    <row r="20" customFormat="false" ht="15" hidden="false" customHeight="true" outlineLevel="0" collapsed="false">
      <c r="A20" s="128"/>
      <c r="B20" s="129" t="s">
        <v>111</v>
      </c>
      <c r="C20" s="129" t="s">
        <v>231</v>
      </c>
      <c r="D20" s="130" t="s">
        <v>563</v>
      </c>
      <c r="E20" s="130"/>
      <c r="F20" s="128" t="s">
        <v>97</v>
      </c>
      <c r="G20" s="131" t="s">
        <v>97</v>
      </c>
      <c r="H20" s="128" t="s">
        <v>97</v>
      </c>
      <c r="I20" s="132" t="n">
        <f aca="false">ROUND(SUM(I21),2)</f>
        <v>0</v>
      </c>
      <c r="J20" s="132" t="n">
        <f aca="false">ROUND(SUM(J21),2)</f>
        <v>0</v>
      </c>
      <c r="K20" s="132" t="n">
        <f aca="false">ROUND(SUM(K21),2)</f>
        <v>0</v>
      </c>
      <c r="L20" s="133"/>
      <c r="M20" s="132" t="n">
        <f aca="false">SUM(M21)</f>
        <v>0.604395</v>
      </c>
      <c r="N20" s="133"/>
      <c r="AI20" s="116" t="s">
        <v>111</v>
      </c>
      <c r="AS20" s="107" t="n">
        <f aca="false">SUM(AJ21)</f>
        <v>0</v>
      </c>
      <c r="AT20" s="107" t="n">
        <f aca="false">SUM(AK21)</f>
        <v>0</v>
      </c>
      <c r="AU20" s="107" t="n">
        <f aca="false">SUM(AL21)</f>
        <v>0</v>
      </c>
    </row>
    <row r="21" customFormat="false" ht="15" hidden="false" customHeight="true" outlineLevel="0" collapsed="false">
      <c r="A21" s="134" t="s">
        <v>173</v>
      </c>
      <c r="B21" s="134" t="s">
        <v>111</v>
      </c>
      <c r="C21" s="134" t="s">
        <v>294</v>
      </c>
      <c r="D21" s="135" t="s">
        <v>565</v>
      </c>
      <c r="E21" s="135"/>
      <c r="F21" s="134" t="s">
        <v>189</v>
      </c>
      <c r="G21" s="136" t="n">
        <f aca="false">'Stavební rozpočet'!G161</f>
        <v>0.363</v>
      </c>
      <c r="H21" s="137" t="n">
        <f aca="false">'Stavební rozpočet'!H161</f>
        <v>0</v>
      </c>
      <c r="I21" s="137" t="n">
        <f aca="false">ROUND(G21*AO21,2)</f>
        <v>0</v>
      </c>
      <c r="J21" s="137" t="n">
        <f aca="false">ROUND(G21*AP21,2)</f>
        <v>0</v>
      </c>
      <c r="K21" s="137" t="n">
        <f aca="false">ROUND(G21*H21,2)</f>
        <v>0</v>
      </c>
      <c r="L21" s="137" t="n">
        <f aca="false">'Stavební rozpočet'!L161</f>
        <v>1.665</v>
      </c>
      <c r="M21" s="137" t="n">
        <f aca="false">G21*L21</f>
        <v>0.604395</v>
      </c>
      <c r="N21" s="138" t="s">
        <v>155</v>
      </c>
      <c r="Z21" s="88" t="n">
        <f aca="false">ROUND(IF(AQ21="5",BJ21,0),2)</f>
        <v>0</v>
      </c>
      <c r="AB21" s="88" t="n">
        <f aca="false">ROUND(IF(AQ21="1",BH21,0),2)</f>
        <v>0</v>
      </c>
      <c r="AC21" s="88" t="n">
        <f aca="false">ROUND(IF(AQ21="1",BI21,0),2)</f>
        <v>0</v>
      </c>
      <c r="AD21" s="88" t="n">
        <f aca="false">ROUND(IF(AQ21="7",BH21,0),2)</f>
        <v>0</v>
      </c>
      <c r="AE21" s="88" t="n">
        <f aca="false">ROUND(IF(AQ21="7",BI21,0),2)</f>
        <v>0</v>
      </c>
      <c r="AF21" s="88" t="n">
        <f aca="false">ROUND(IF(AQ21="2",BH21,0),2)</f>
        <v>0</v>
      </c>
      <c r="AG21" s="88" t="n">
        <f aca="false">ROUND(IF(AQ21="2",BI21,0),2)</f>
        <v>0</v>
      </c>
      <c r="AH21" s="88" t="n">
        <f aca="false">ROUND(IF(AQ21="0",BJ21,0),2)</f>
        <v>0</v>
      </c>
      <c r="AI21" s="116" t="s">
        <v>111</v>
      </c>
      <c r="AJ21" s="88" t="n">
        <f aca="false">IF(AN21=0,K21,0)</f>
        <v>0</v>
      </c>
      <c r="AK21" s="88" t="n">
        <f aca="false">IF(AN21=12,K21,0)</f>
        <v>0</v>
      </c>
      <c r="AL21" s="88" t="n">
        <f aca="false">IF(AN21=21,K21,0)</f>
        <v>0</v>
      </c>
      <c r="AN21" s="88" t="n">
        <v>21</v>
      </c>
      <c r="AO21" s="88" t="n">
        <f aca="false">H21*0.721310464</f>
        <v>0</v>
      </c>
      <c r="AP21" s="88" t="n">
        <f aca="false">H21*(1-0.721310464)</f>
        <v>0</v>
      </c>
      <c r="AQ21" s="87" t="s">
        <v>151</v>
      </c>
      <c r="AV21" s="88" t="n">
        <f aca="false">ROUND(AW21+AX21,2)</f>
        <v>0</v>
      </c>
      <c r="AW21" s="88" t="n">
        <f aca="false">ROUND(G21*AO21,2)</f>
        <v>0</v>
      </c>
      <c r="AX21" s="88" t="n">
        <f aca="false">ROUND(G21*AP21,2)</f>
        <v>0</v>
      </c>
      <c r="AY21" s="87" t="s">
        <v>566</v>
      </c>
      <c r="AZ21" s="87" t="s">
        <v>567</v>
      </c>
      <c r="BA21" s="116" t="s">
        <v>552</v>
      </c>
      <c r="BC21" s="88" t="n">
        <f aca="false">AW21+AX21</f>
        <v>0</v>
      </c>
      <c r="BD21" s="88" t="n">
        <f aca="false">H21/(100-BE21)*100</f>
        <v>0</v>
      </c>
      <c r="BE21" s="88" t="n">
        <v>0</v>
      </c>
      <c r="BF21" s="88" t="n">
        <f aca="false">M21</f>
        <v>0.604395</v>
      </c>
      <c r="BH21" s="88" t="n">
        <f aca="false">G21*AO21</f>
        <v>0</v>
      </c>
      <c r="BI21" s="88" t="n">
        <f aca="false">G21*AP21</f>
        <v>0</v>
      </c>
      <c r="BJ21" s="88" t="n">
        <f aca="false">G21*H21</f>
        <v>0</v>
      </c>
      <c r="BK21" s="87" t="s">
        <v>159</v>
      </c>
      <c r="BL21" s="88" t="n">
        <v>21</v>
      </c>
      <c r="BW21" s="88" t="n">
        <v>21</v>
      </c>
      <c r="BX21" s="9" t="s">
        <v>565</v>
      </c>
    </row>
    <row r="22" customFormat="false" ht="15" hidden="false" customHeight="true" outlineLevel="0" collapsed="false">
      <c r="A22" s="128"/>
      <c r="B22" s="129" t="s">
        <v>111</v>
      </c>
      <c r="C22" s="129" t="s">
        <v>253</v>
      </c>
      <c r="D22" s="130" t="s">
        <v>568</v>
      </c>
      <c r="E22" s="130"/>
      <c r="F22" s="128" t="s">
        <v>97</v>
      </c>
      <c r="G22" s="131" t="s">
        <v>97</v>
      </c>
      <c r="H22" s="128" t="s">
        <v>97</v>
      </c>
      <c r="I22" s="132" t="n">
        <f aca="false">ROUND(SUM(I23),2)</f>
        <v>0</v>
      </c>
      <c r="J22" s="132" t="n">
        <f aca="false">ROUND(SUM(J23),2)</f>
        <v>0</v>
      </c>
      <c r="K22" s="132" t="n">
        <f aca="false">ROUND(SUM(K23),2)</f>
        <v>0</v>
      </c>
      <c r="L22" s="133"/>
      <c r="M22" s="132" t="n">
        <f aca="false">SUM(M23)</f>
        <v>2.61976555</v>
      </c>
      <c r="N22" s="133"/>
      <c r="AI22" s="116" t="s">
        <v>111</v>
      </c>
      <c r="AS22" s="107" t="n">
        <f aca="false">SUM(AJ23)</f>
        <v>0</v>
      </c>
      <c r="AT22" s="107" t="n">
        <f aca="false">SUM(AK23)</f>
        <v>0</v>
      </c>
      <c r="AU22" s="107" t="n">
        <f aca="false">SUM(AL23)</f>
        <v>0</v>
      </c>
    </row>
    <row r="23" customFormat="false" ht="15" hidden="false" customHeight="true" outlineLevel="0" collapsed="false">
      <c r="A23" s="134" t="s">
        <v>176</v>
      </c>
      <c r="B23" s="134" t="s">
        <v>111</v>
      </c>
      <c r="C23" s="134" t="s">
        <v>570</v>
      </c>
      <c r="D23" s="135" t="s">
        <v>571</v>
      </c>
      <c r="E23" s="135"/>
      <c r="F23" s="134" t="s">
        <v>189</v>
      </c>
      <c r="G23" s="136" t="n">
        <f aca="false">'Stavební rozpočet'!G163</f>
        <v>0.955</v>
      </c>
      <c r="H23" s="137" t="n">
        <f aca="false">'Stavební rozpočet'!H163</f>
        <v>0</v>
      </c>
      <c r="I23" s="137" t="n">
        <f aca="false">ROUND(G23*AO23,2)</f>
        <v>0</v>
      </c>
      <c r="J23" s="137" t="n">
        <f aca="false">ROUND(G23*AP23,2)</f>
        <v>0</v>
      </c>
      <c r="K23" s="137" t="n">
        <f aca="false">ROUND(G23*H23,2)</f>
        <v>0</v>
      </c>
      <c r="L23" s="137" t="n">
        <f aca="false">'Stavební rozpočet'!L163</f>
        <v>2.74321</v>
      </c>
      <c r="M23" s="137" t="n">
        <f aca="false">G23*L23</f>
        <v>2.61976555</v>
      </c>
      <c r="N23" s="138" t="s">
        <v>155</v>
      </c>
      <c r="Z23" s="88" t="n">
        <f aca="false">ROUND(IF(AQ23="5",BJ23,0),2)</f>
        <v>0</v>
      </c>
      <c r="AB23" s="88" t="n">
        <f aca="false">ROUND(IF(AQ23="1",BH23,0),2)</f>
        <v>0</v>
      </c>
      <c r="AC23" s="88" t="n">
        <f aca="false">ROUND(IF(AQ23="1",BI23,0),2)</f>
        <v>0</v>
      </c>
      <c r="AD23" s="88" t="n">
        <f aca="false">ROUND(IF(AQ23="7",BH23,0),2)</f>
        <v>0</v>
      </c>
      <c r="AE23" s="88" t="n">
        <f aca="false">ROUND(IF(AQ23="7",BI23,0),2)</f>
        <v>0</v>
      </c>
      <c r="AF23" s="88" t="n">
        <f aca="false">ROUND(IF(AQ23="2",BH23,0),2)</f>
        <v>0</v>
      </c>
      <c r="AG23" s="88" t="n">
        <f aca="false">ROUND(IF(AQ23="2",BI23,0),2)</f>
        <v>0</v>
      </c>
      <c r="AH23" s="88" t="n">
        <f aca="false">ROUND(IF(AQ23="0",BJ23,0),2)</f>
        <v>0</v>
      </c>
      <c r="AI23" s="116" t="s">
        <v>111</v>
      </c>
      <c r="AJ23" s="88" t="n">
        <f aca="false">IF(AN23=0,K23,0)</f>
        <v>0</v>
      </c>
      <c r="AK23" s="88" t="n">
        <f aca="false">IF(AN23=12,K23,0)</f>
        <v>0</v>
      </c>
      <c r="AL23" s="88" t="n">
        <f aca="false">IF(AN23=21,K23,0)</f>
        <v>0</v>
      </c>
      <c r="AN23" s="88" t="n">
        <v>21</v>
      </c>
      <c r="AO23" s="88" t="n">
        <f aca="false">H23*0.636564665</f>
        <v>0</v>
      </c>
      <c r="AP23" s="88" t="n">
        <f aca="false">H23*(1-0.636564665)</f>
        <v>0</v>
      </c>
      <c r="AQ23" s="87" t="s">
        <v>151</v>
      </c>
      <c r="AV23" s="88" t="n">
        <f aca="false">ROUND(AW23+AX23,2)</f>
        <v>0</v>
      </c>
      <c r="AW23" s="88" t="n">
        <f aca="false">ROUND(G23*AO23,2)</f>
        <v>0</v>
      </c>
      <c r="AX23" s="88" t="n">
        <f aca="false">ROUND(G23*AP23,2)</f>
        <v>0</v>
      </c>
      <c r="AY23" s="87" t="s">
        <v>572</v>
      </c>
      <c r="AZ23" s="87" t="s">
        <v>567</v>
      </c>
      <c r="BA23" s="116" t="s">
        <v>552</v>
      </c>
      <c r="BC23" s="88" t="n">
        <f aca="false">AW23+AX23</f>
        <v>0</v>
      </c>
      <c r="BD23" s="88" t="n">
        <f aca="false">H23/(100-BE23)*100</f>
        <v>0</v>
      </c>
      <c r="BE23" s="88" t="n">
        <v>0</v>
      </c>
      <c r="BF23" s="88" t="n">
        <f aca="false">M23</f>
        <v>2.61976555</v>
      </c>
      <c r="BH23" s="88" t="n">
        <f aca="false">G23*AO23</f>
        <v>0</v>
      </c>
      <c r="BI23" s="88" t="n">
        <f aca="false">G23*AP23</f>
        <v>0</v>
      </c>
      <c r="BJ23" s="88" t="n">
        <f aca="false">G23*H23</f>
        <v>0</v>
      </c>
      <c r="BK23" s="87" t="s">
        <v>159</v>
      </c>
      <c r="BL23" s="88" t="n">
        <v>27</v>
      </c>
      <c r="BW23" s="88" t="n">
        <v>21</v>
      </c>
      <c r="BX23" s="9" t="s">
        <v>571</v>
      </c>
    </row>
    <row r="24" customFormat="false" ht="15" hidden="false" customHeight="true" outlineLevel="0" collapsed="false">
      <c r="A24" s="128"/>
      <c r="B24" s="129" t="s">
        <v>111</v>
      </c>
      <c r="C24" s="129" t="s">
        <v>287</v>
      </c>
      <c r="D24" s="130" t="s">
        <v>573</v>
      </c>
      <c r="E24" s="130"/>
      <c r="F24" s="128" t="s">
        <v>97</v>
      </c>
      <c r="G24" s="131" t="s">
        <v>97</v>
      </c>
      <c r="H24" s="128" t="s">
        <v>97</v>
      </c>
      <c r="I24" s="132" t="n">
        <f aca="false">ROUND(SUM(I25:I29),2)</f>
        <v>0</v>
      </c>
      <c r="J24" s="132" t="n">
        <f aca="false">ROUND(SUM(J25:J29),2)</f>
        <v>0</v>
      </c>
      <c r="K24" s="132" t="n">
        <f aca="false">ROUND(SUM(K25:K29),2)</f>
        <v>0</v>
      </c>
      <c r="L24" s="133"/>
      <c r="M24" s="132" t="n">
        <f aca="false">SUM(M25:M29)</f>
        <v>0.0018</v>
      </c>
      <c r="N24" s="133"/>
      <c r="AI24" s="116" t="s">
        <v>111</v>
      </c>
      <c r="AS24" s="107" t="n">
        <f aca="false">SUM(AJ25:AJ29)</f>
        <v>0</v>
      </c>
      <c r="AT24" s="107" t="n">
        <f aca="false">SUM(AK25:AK29)</f>
        <v>0</v>
      </c>
      <c r="AU24" s="107" t="n">
        <f aca="false">SUM(AL25:AL29)</f>
        <v>0</v>
      </c>
    </row>
    <row r="25" customFormat="false" ht="15" hidden="false" customHeight="true" outlineLevel="0" collapsed="false">
      <c r="A25" s="134" t="s">
        <v>181</v>
      </c>
      <c r="B25" s="134" t="s">
        <v>111</v>
      </c>
      <c r="C25" s="134" t="s">
        <v>575</v>
      </c>
      <c r="D25" s="135" t="s">
        <v>576</v>
      </c>
      <c r="E25" s="135"/>
      <c r="F25" s="134" t="s">
        <v>154</v>
      </c>
      <c r="G25" s="136" t="n">
        <f aca="false">'Stavební rozpočet'!G165</f>
        <v>0.8</v>
      </c>
      <c r="H25" s="137" t="n">
        <f aca="false">'Stavební rozpočet'!H165</f>
        <v>0</v>
      </c>
      <c r="I25" s="137" t="n">
        <f aca="false">ROUND(G25*AO25,2)</f>
        <v>0</v>
      </c>
      <c r="J25" s="137" t="n">
        <f aca="false">ROUND(G25*AP25,2)</f>
        <v>0</v>
      </c>
      <c r="K25" s="137" t="n">
        <f aca="false">ROUND(G25*H25,2)</f>
        <v>0</v>
      </c>
      <c r="L25" s="137" t="n">
        <f aca="false">'Stavební rozpočet'!L165</f>
        <v>9E-005</v>
      </c>
      <c r="M25" s="137" t="n">
        <f aca="false">G25*L25</f>
        <v>7.2E-005</v>
      </c>
      <c r="N25" s="138" t="s">
        <v>155</v>
      </c>
      <c r="Z25" s="88" t="n">
        <f aca="false">ROUND(IF(AQ25="5",BJ25,0),2)</f>
        <v>0</v>
      </c>
      <c r="AB25" s="88" t="n">
        <f aca="false">ROUND(IF(AQ25="1",BH25,0),2)</f>
        <v>0</v>
      </c>
      <c r="AC25" s="88" t="n">
        <f aca="false">ROUND(IF(AQ25="1",BI25,0),2)</f>
        <v>0</v>
      </c>
      <c r="AD25" s="88" t="n">
        <f aca="false">ROUND(IF(AQ25="7",BH25,0),2)</f>
        <v>0</v>
      </c>
      <c r="AE25" s="88" t="n">
        <f aca="false">ROUND(IF(AQ25="7",BI25,0),2)</f>
        <v>0</v>
      </c>
      <c r="AF25" s="88" t="n">
        <f aca="false">ROUND(IF(AQ25="2",BH25,0),2)</f>
        <v>0</v>
      </c>
      <c r="AG25" s="88" t="n">
        <f aca="false">ROUND(IF(AQ25="2",BI25,0),2)</f>
        <v>0</v>
      </c>
      <c r="AH25" s="88" t="n">
        <f aca="false">ROUND(IF(AQ25="0",BJ25,0),2)</f>
        <v>0</v>
      </c>
      <c r="AI25" s="116" t="s">
        <v>111</v>
      </c>
      <c r="AJ25" s="88" t="n">
        <f aca="false">IF(AN25=0,K25,0)</f>
        <v>0</v>
      </c>
      <c r="AK25" s="88" t="n">
        <f aca="false">IF(AN25=12,K25,0)</f>
        <v>0</v>
      </c>
      <c r="AL25" s="88" t="n">
        <f aca="false">IF(AN25=21,K25,0)</f>
        <v>0</v>
      </c>
      <c r="AN25" s="88" t="n">
        <v>21</v>
      </c>
      <c r="AO25" s="88" t="n">
        <f aca="false">H25*0.215661765</f>
        <v>0</v>
      </c>
      <c r="AP25" s="88" t="n">
        <f aca="false">H25*(1-0.215661765)</f>
        <v>0</v>
      </c>
      <c r="AQ25" s="87" t="s">
        <v>151</v>
      </c>
      <c r="AV25" s="88" t="n">
        <f aca="false">ROUND(AW25+AX25,2)</f>
        <v>0</v>
      </c>
      <c r="AW25" s="88" t="n">
        <f aca="false">ROUND(G25*AO25,2)</f>
        <v>0</v>
      </c>
      <c r="AX25" s="88" t="n">
        <f aca="false">ROUND(G25*AP25,2)</f>
        <v>0</v>
      </c>
      <c r="AY25" s="87" t="s">
        <v>577</v>
      </c>
      <c r="AZ25" s="87" t="s">
        <v>578</v>
      </c>
      <c r="BA25" s="116" t="s">
        <v>552</v>
      </c>
      <c r="BC25" s="88" t="n">
        <f aca="false">AW25+AX25</f>
        <v>0</v>
      </c>
      <c r="BD25" s="88" t="n">
        <f aca="false">H25/(100-BE25)*100</f>
        <v>0</v>
      </c>
      <c r="BE25" s="88" t="n">
        <v>0</v>
      </c>
      <c r="BF25" s="88" t="n">
        <f aca="false">M25</f>
        <v>7.2E-005</v>
      </c>
      <c r="BH25" s="88" t="n">
        <f aca="false">G25*AO25</f>
        <v>0</v>
      </c>
      <c r="BI25" s="88" t="n">
        <f aca="false">G25*AP25</f>
        <v>0</v>
      </c>
      <c r="BJ25" s="88" t="n">
        <f aca="false">G25*H25</f>
        <v>0</v>
      </c>
      <c r="BK25" s="87" t="s">
        <v>159</v>
      </c>
      <c r="BL25" s="88" t="n">
        <v>38</v>
      </c>
      <c r="BW25" s="88" t="n">
        <v>21</v>
      </c>
      <c r="BX25" s="9" t="s">
        <v>576</v>
      </c>
    </row>
    <row r="26" customFormat="false" ht="15" hidden="false" customHeight="true" outlineLevel="0" collapsed="false">
      <c r="A26" s="134" t="s">
        <v>186</v>
      </c>
      <c r="B26" s="134" t="s">
        <v>111</v>
      </c>
      <c r="C26" s="134" t="s">
        <v>580</v>
      </c>
      <c r="D26" s="135" t="s">
        <v>581</v>
      </c>
      <c r="E26" s="135"/>
      <c r="F26" s="134" t="s">
        <v>154</v>
      </c>
      <c r="G26" s="136" t="n">
        <f aca="false">'Stavební rozpočet'!G166</f>
        <v>14.4</v>
      </c>
      <c r="H26" s="137" t="n">
        <f aca="false">'Stavební rozpočet'!H166</f>
        <v>0</v>
      </c>
      <c r="I26" s="137" t="n">
        <f aca="false">ROUND(G26*AO26,2)</f>
        <v>0</v>
      </c>
      <c r="J26" s="137" t="n">
        <f aca="false">ROUND(G26*AP26,2)</f>
        <v>0</v>
      </c>
      <c r="K26" s="137" t="n">
        <f aca="false">ROUND(G26*H26,2)</f>
        <v>0</v>
      </c>
      <c r="L26" s="137" t="n">
        <f aca="false">'Stavební rozpočet'!L166</f>
        <v>0.00012</v>
      </c>
      <c r="M26" s="137" t="n">
        <f aca="false">G26*L26</f>
        <v>0.001728</v>
      </c>
      <c r="N26" s="138" t="s">
        <v>155</v>
      </c>
      <c r="Z26" s="88" t="n">
        <f aca="false">ROUND(IF(AQ26="5",BJ26,0),2)</f>
        <v>0</v>
      </c>
      <c r="AB26" s="88" t="n">
        <f aca="false">ROUND(IF(AQ26="1",BH26,0),2)</f>
        <v>0</v>
      </c>
      <c r="AC26" s="88" t="n">
        <f aca="false">ROUND(IF(AQ26="1",BI26,0),2)</f>
        <v>0</v>
      </c>
      <c r="AD26" s="88" t="n">
        <f aca="false">ROUND(IF(AQ26="7",BH26,0),2)</f>
        <v>0</v>
      </c>
      <c r="AE26" s="88" t="n">
        <f aca="false">ROUND(IF(AQ26="7",BI26,0),2)</f>
        <v>0</v>
      </c>
      <c r="AF26" s="88" t="n">
        <f aca="false">ROUND(IF(AQ26="2",BH26,0),2)</f>
        <v>0</v>
      </c>
      <c r="AG26" s="88" t="n">
        <f aca="false">ROUND(IF(AQ26="2",BI26,0),2)</f>
        <v>0</v>
      </c>
      <c r="AH26" s="88" t="n">
        <f aca="false">ROUND(IF(AQ26="0",BJ26,0),2)</f>
        <v>0</v>
      </c>
      <c r="AI26" s="116" t="s">
        <v>111</v>
      </c>
      <c r="AJ26" s="88" t="n">
        <f aca="false">IF(AN26=0,K26,0)</f>
        <v>0</v>
      </c>
      <c r="AK26" s="88" t="n">
        <f aca="false">IF(AN26=12,K26,0)</f>
        <v>0</v>
      </c>
      <c r="AL26" s="88" t="n">
        <f aca="false">IF(AN26=21,K26,0)</f>
        <v>0</v>
      </c>
      <c r="AN26" s="88" t="n">
        <v>21</v>
      </c>
      <c r="AO26" s="88" t="n">
        <f aca="false">H26*0.264964356</f>
        <v>0</v>
      </c>
      <c r="AP26" s="88" t="n">
        <f aca="false">H26*(1-0.264964356)</f>
        <v>0</v>
      </c>
      <c r="AQ26" s="87" t="s">
        <v>151</v>
      </c>
      <c r="AV26" s="88" t="n">
        <f aca="false">ROUND(AW26+AX26,2)</f>
        <v>0</v>
      </c>
      <c r="AW26" s="88" t="n">
        <f aca="false">ROUND(G26*AO26,2)</f>
        <v>0</v>
      </c>
      <c r="AX26" s="88" t="n">
        <f aca="false">ROUND(G26*AP26,2)</f>
        <v>0</v>
      </c>
      <c r="AY26" s="87" t="s">
        <v>577</v>
      </c>
      <c r="AZ26" s="87" t="s">
        <v>578</v>
      </c>
      <c r="BA26" s="116" t="s">
        <v>552</v>
      </c>
      <c r="BC26" s="88" t="n">
        <f aca="false">AW26+AX26</f>
        <v>0</v>
      </c>
      <c r="BD26" s="88" t="n">
        <f aca="false">H26/(100-BE26)*100</f>
        <v>0</v>
      </c>
      <c r="BE26" s="88" t="n">
        <v>0</v>
      </c>
      <c r="BF26" s="88" t="n">
        <f aca="false">M26</f>
        <v>0.001728</v>
      </c>
      <c r="BH26" s="88" t="n">
        <f aca="false">G26*AO26</f>
        <v>0</v>
      </c>
      <c r="BI26" s="88" t="n">
        <f aca="false">G26*AP26</f>
        <v>0</v>
      </c>
      <c r="BJ26" s="88" t="n">
        <f aca="false">G26*H26</f>
        <v>0</v>
      </c>
      <c r="BK26" s="87" t="s">
        <v>159</v>
      </c>
      <c r="BL26" s="88" t="n">
        <v>38</v>
      </c>
      <c r="BW26" s="88" t="n">
        <v>21</v>
      </c>
      <c r="BX26" s="9" t="s">
        <v>581</v>
      </c>
    </row>
    <row r="27" customFormat="false" ht="15" hidden="false" customHeight="true" outlineLevel="0" collapsed="false">
      <c r="A27" s="139" t="s">
        <v>192</v>
      </c>
      <c r="B27" s="139" t="s">
        <v>111</v>
      </c>
      <c r="C27" s="139" t="s">
        <v>583</v>
      </c>
      <c r="D27" s="140" t="s">
        <v>584</v>
      </c>
      <c r="E27" s="140"/>
      <c r="F27" s="139" t="s">
        <v>202</v>
      </c>
      <c r="G27" s="141" t="n">
        <f aca="false">'Stavební rozpočet'!G167</f>
        <v>4.4</v>
      </c>
      <c r="H27" s="142" t="n">
        <f aca="false">'Stavební rozpočet'!H167</f>
        <v>0</v>
      </c>
      <c r="I27" s="142" t="n">
        <f aca="false">ROUND(G27*AO27,2)</f>
        <v>0</v>
      </c>
      <c r="J27" s="142" t="n">
        <f aca="false">ROUND(G27*AP27,2)</f>
        <v>0</v>
      </c>
      <c r="K27" s="142" t="n">
        <f aca="false">ROUND(G27*H27,2)</f>
        <v>0</v>
      </c>
      <c r="L27" s="142" t="n">
        <f aca="false">'Stavební rozpočet'!L167</f>
        <v>0</v>
      </c>
      <c r="M27" s="142" t="n">
        <f aca="false">G27*L27</f>
        <v>0</v>
      </c>
      <c r="N27" s="143" t="s">
        <v>155</v>
      </c>
      <c r="Z27" s="88" t="n">
        <f aca="false">ROUND(IF(AQ27="5",BJ27,0),2)</f>
        <v>0</v>
      </c>
      <c r="AB27" s="88" t="n">
        <f aca="false">ROUND(IF(AQ27="1",BH27,0),2)</f>
        <v>0</v>
      </c>
      <c r="AC27" s="88" t="n">
        <f aca="false">ROUND(IF(AQ27="1",BI27,0),2)</f>
        <v>0</v>
      </c>
      <c r="AD27" s="88" t="n">
        <f aca="false">ROUND(IF(AQ27="7",BH27,0),2)</f>
        <v>0</v>
      </c>
      <c r="AE27" s="88" t="n">
        <f aca="false">ROUND(IF(AQ27="7",BI27,0),2)</f>
        <v>0</v>
      </c>
      <c r="AF27" s="88" t="n">
        <f aca="false">ROUND(IF(AQ27="2",BH27,0),2)</f>
        <v>0</v>
      </c>
      <c r="AG27" s="88" t="n">
        <f aca="false">ROUND(IF(AQ27="2",BI27,0),2)</f>
        <v>0</v>
      </c>
      <c r="AH27" s="88" t="n">
        <f aca="false">ROUND(IF(AQ27="0",BJ27,0),2)</f>
        <v>0</v>
      </c>
      <c r="AI27" s="116" t="s">
        <v>111</v>
      </c>
      <c r="AJ27" s="144" t="n">
        <f aca="false">IF(AN27=0,K27,0)</f>
        <v>0</v>
      </c>
      <c r="AK27" s="144" t="n">
        <f aca="false">IF(AN27=12,K27,0)</f>
        <v>0</v>
      </c>
      <c r="AL27" s="144" t="n">
        <f aca="false">IF(AN27=21,K27,0)</f>
        <v>0</v>
      </c>
      <c r="AN27" s="88" t="n">
        <v>21</v>
      </c>
      <c r="AO27" s="88" t="n">
        <f aca="false">H27*1</f>
        <v>0</v>
      </c>
      <c r="AP27" s="88" t="n">
        <f aca="false">H27*(1-1)</f>
        <v>0</v>
      </c>
      <c r="AQ27" s="145" t="s">
        <v>151</v>
      </c>
      <c r="AV27" s="88" t="n">
        <f aca="false">ROUND(AW27+AX27,2)</f>
        <v>0</v>
      </c>
      <c r="AW27" s="88" t="n">
        <f aca="false">ROUND(G27*AO27,2)</f>
        <v>0</v>
      </c>
      <c r="AX27" s="88" t="n">
        <f aca="false">ROUND(G27*AP27,2)</f>
        <v>0</v>
      </c>
      <c r="AY27" s="87" t="s">
        <v>577</v>
      </c>
      <c r="AZ27" s="87" t="s">
        <v>578</v>
      </c>
      <c r="BA27" s="116" t="s">
        <v>552</v>
      </c>
      <c r="BC27" s="88" t="n">
        <f aca="false">AW27+AX27</f>
        <v>0</v>
      </c>
      <c r="BD27" s="88" t="n">
        <f aca="false">H27/(100-BE27)*100</f>
        <v>0</v>
      </c>
      <c r="BE27" s="88" t="n">
        <v>0</v>
      </c>
      <c r="BF27" s="88" t="n">
        <f aca="false">M27</f>
        <v>0</v>
      </c>
      <c r="BH27" s="144" t="n">
        <f aca="false">G27*AO27</f>
        <v>0</v>
      </c>
      <c r="BI27" s="144" t="n">
        <f aca="false">G27*AP27</f>
        <v>0</v>
      </c>
      <c r="BJ27" s="144" t="n">
        <f aca="false">G27*H27</f>
        <v>0</v>
      </c>
      <c r="BK27" s="145" t="s">
        <v>180</v>
      </c>
      <c r="BL27" s="88" t="n">
        <v>38</v>
      </c>
      <c r="BW27" s="88" t="n">
        <v>21</v>
      </c>
      <c r="BX27" s="146" t="s">
        <v>584</v>
      </c>
    </row>
    <row r="28" customFormat="false" ht="15" hidden="false" customHeight="true" outlineLevel="0" collapsed="false">
      <c r="A28" s="139" t="s">
        <v>149</v>
      </c>
      <c r="B28" s="139" t="s">
        <v>111</v>
      </c>
      <c r="C28" s="139" t="s">
        <v>586</v>
      </c>
      <c r="D28" s="140" t="s">
        <v>587</v>
      </c>
      <c r="E28" s="140"/>
      <c r="F28" s="139" t="s">
        <v>202</v>
      </c>
      <c r="G28" s="141" t="n">
        <f aca="false">'Stavební rozpočet'!G168</f>
        <v>79.2</v>
      </c>
      <c r="H28" s="142" t="n">
        <f aca="false">'Stavební rozpočet'!H168</f>
        <v>0</v>
      </c>
      <c r="I28" s="142" t="n">
        <f aca="false">ROUND(G28*AO28,2)</f>
        <v>0</v>
      </c>
      <c r="J28" s="142" t="n">
        <f aca="false">ROUND(G28*AP28,2)</f>
        <v>0</v>
      </c>
      <c r="K28" s="142" t="n">
        <f aca="false">ROUND(G28*H28,2)</f>
        <v>0</v>
      </c>
      <c r="L28" s="142" t="n">
        <f aca="false">'Stavební rozpočet'!L168</f>
        <v>0</v>
      </c>
      <c r="M28" s="142" t="n">
        <f aca="false">G28*L28</f>
        <v>0</v>
      </c>
      <c r="N28" s="143" t="s">
        <v>155</v>
      </c>
      <c r="Z28" s="88" t="n">
        <f aca="false">ROUND(IF(AQ28="5",BJ28,0),2)</f>
        <v>0</v>
      </c>
      <c r="AB28" s="88" t="n">
        <f aca="false">ROUND(IF(AQ28="1",BH28,0),2)</f>
        <v>0</v>
      </c>
      <c r="AC28" s="88" t="n">
        <f aca="false">ROUND(IF(AQ28="1",BI28,0),2)</f>
        <v>0</v>
      </c>
      <c r="AD28" s="88" t="n">
        <f aca="false">ROUND(IF(AQ28="7",BH28,0),2)</f>
        <v>0</v>
      </c>
      <c r="AE28" s="88" t="n">
        <f aca="false">ROUND(IF(AQ28="7",BI28,0),2)</f>
        <v>0</v>
      </c>
      <c r="AF28" s="88" t="n">
        <f aca="false">ROUND(IF(AQ28="2",BH28,0),2)</f>
        <v>0</v>
      </c>
      <c r="AG28" s="88" t="n">
        <f aca="false">ROUND(IF(AQ28="2",BI28,0),2)</f>
        <v>0</v>
      </c>
      <c r="AH28" s="88" t="n">
        <f aca="false">ROUND(IF(AQ28="0",BJ28,0),2)</f>
        <v>0</v>
      </c>
      <c r="AI28" s="116" t="s">
        <v>111</v>
      </c>
      <c r="AJ28" s="144" t="n">
        <f aca="false">IF(AN28=0,K28,0)</f>
        <v>0</v>
      </c>
      <c r="AK28" s="144" t="n">
        <f aca="false">IF(AN28=12,K28,0)</f>
        <v>0</v>
      </c>
      <c r="AL28" s="144" t="n">
        <f aca="false">IF(AN28=21,K28,0)</f>
        <v>0</v>
      </c>
      <c r="AN28" s="88" t="n">
        <v>21</v>
      </c>
      <c r="AO28" s="88" t="n">
        <f aca="false">H28*1</f>
        <v>0</v>
      </c>
      <c r="AP28" s="88" t="n">
        <f aca="false">H28*(1-1)</f>
        <v>0</v>
      </c>
      <c r="AQ28" s="145" t="s">
        <v>151</v>
      </c>
      <c r="AV28" s="88" t="n">
        <f aca="false">ROUND(AW28+AX28,2)</f>
        <v>0</v>
      </c>
      <c r="AW28" s="88" t="n">
        <f aca="false">ROUND(G28*AO28,2)</f>
        <v>0</v>
      </c>
      <c r="AX28" s="88" t="n">
        <f aca="false">ROUND(G28*AP28,2)</f>
        <v>0</v>
      </c>
      <c r="AY28" s="87" t="s">
        <v>577</v>
      </c>
      <c r="AZ28" s="87" t="s">
        <v>578</v>
      </c>
      <c r="BA28" s="116" t="s">
        <v>552</v>
      </c>
      <c r="BC28" s="88" t="n">
        <f aca="false">AW28+AX28</f>
        <v>0</v>
      </c>
      <c r="BD28" s="88" t="n">
        <f aca="false">H28/(100-BE28)*100</f>
        <v>0</v>
      </c>
      <c r="BE28" s="88" t="n">
        <v>0</v>
      </c>
      <c r="BF28" s="88" t="n">
        <f aca="false">M28</f>
        <v>0</v>
      </c>
      <c r="BH28" s="144" t="n">
        <f aca="false">G28*AO28</f>
        <v>0</v>
      </c>
      <c r="BI28" s="144" t="n">
        <f aca="false">G28*AP28</f>
        <v>0</v>
      </c>
      <c r="BJ28" s="144" t="n">
        <f aca="false">G28*H28</f>
        <v>0</v>
      </c>
      <c r="BK28" s="145" t="s">
        <v>180</v>
      </c>
      <c r="BL28" s="88" t="n">
        <v>38</v>
      </c>
      <c r="BW28" s="88" t="n">
        <v>21</v>
      </c>
      <c r="BX28" s="146" t="s">
        <v>587</v>
      </c>
    </row>
    <row r="29" customFormat="false" ht="15" hidden="false" customHeight="true" outlineLevel="0" collapsed="false">
      <c r="A29" s="134" t="s">
        <v>199</v>
      </c>
      <c r="B29" s="134" t="s">
        <v>111</v>
      </c>
      <c r="C29" s="134" t="s">
        <v>334</v>
      </c>
      <c r="D29" s="135" t="s">
        <v>589</v>
      </c>
      <c r="E29" s="135"/>
      <c r="F29" s="134" t="s">
        <v>179</v>
      </c>
      <c r="G29" s="136" t="n">
        <f aca="false">'Stavební rozpočet'!G169</f>
        <v>0.002</v>
      </c>
      <c r="H29" s="137" t="n">
        <f aca="false">'Stavební rozpočet'!H169</f>
        <v>0</v>
      </c>
      <c r="I29" s="137" t="n">
        <f aca="false">ROUND(G29*AO29,2)</f>
        <v>0</v>
      </c>
      <c r="J29" s="137" t="n">
        <f aca="false">ROUND(G29*AP29,2)</f>
        <v>0</v>
      </c>
      <c r="K29" s="137" t="n">
        <f aca="false">ROUND(G29*H29,2)</f>
        <v>0</v>
      </c>
      <c r="L29" s="137" t="n">
        <f aca="false">'Stavební rozpočet'!L169</f>
        <v>0</v>
      </c>
      <c r="M29" s="137" t="n">
        <f aca="false">G29*L29</f>
        <v>0</v>
      </c>
      <c r="N29" s="138" t="s">
        <v>155</v>
      </c>
      <c r="Z29" s="88" t="n">
        <f aca="false">ROUND(IF(AQ29="5",BJ29,0),2)</f>
        <v>0</v>
      </c>
      <c r="AB29" s="88" t="n">
        <f aca="false">ROUND(IF(AQ29="1",BH29,0),2)</f>
        <v>0</v>
      </c>
      <c r="AC29" s="88" t="n">
        <f aca="false">ROUND(IF(AQ29="1",BI29,0),2)</f>
        <v>0</v>
      </c>
      <c r="AD29" s="88" t="n">
        <f aca="false">ROUND(IF(AQ29="7",BH29,0),2)</f>
        <v>0</v>
      </c>
      <c r="AE29" s="88" t="n">
        <f aca="false">ROUND(IF(AQ29="7",BI29,0),2)</f>
        <v>0</v>
      </c>
      <c r="AF29" s="88" t="n">
        <f aca="false">ROUND(IF(AQ29="2",BH29,0),2)</f>
        <v>0</v>
      </c>
      <c r="AG29" s="88" t="n">
        <f aca="false">ROUND(IF(AQ29="2",BI29,0),2)</f>
        <v>0</v>
      </c>
      <c r="AH29" s="88" t="n">
        <f aca="false">ROUND(IF(AQ29="0",BJ29,0),2)</f>
        <v>0</v>
      </c>
      <c r="AI29" s="116" t="s">
        <v>111</v>
      </c>
      <c r="AJ29" s="88" t="n">
        <f aca="false">IF(AN29=0,K29,0)</f>
        <v>0</v>
      </c>
      <c r="AK29" s="88" t="n">
        <f aca="false">IF(AN29=12,K29,0)</f>
        <v>0</v>
      </c>
      <c r="AL29" s="88" t="n">
        <f aca="false">IF(AN29=21,K29,0)</f>
        <v>0</v>
      </c>
      <c r="AN29" s="88" t="n">
        <v>21</v>
      </c>
      <c r="AO29" s="88" t="n">
        <f aca="false">H29*0</f>
        <v>0</v>
      </c>
      <c r="AP29" s="88" t="n">
        <f aca="false">H29*(1-0)</f>
        <v>0</v>
      </c>
      <c r="AQ29" s="87" t="s">
        <v>170</v>
      </c>
      <c r="AV29" s="88" t="n">
        <f aca="false">ROUND(AW29+AX29,2)</f>
        <v>0</v>
      </c>
      <c r="AW29" s="88" t="n">
        <f aca="false">ROUND(G29*AO29,2)</f>
        <v>0</v>
      </c>
      <c r="AX29" s="88" t="n">
        <f aca="false">ROUND(G29*AP29,2)</f>
        <v>0</v>
      </c>
      <c r="AY29" s="87" t="s">
        <v>577</v>
      </c>
      <c r="AZ29" s="87" t="s">
        <v>578</v>
      </c>
      <c r="BA29" s="116" t="s">
        <v>552</v>
      </c>
      <c r="BC29" s="88" t="n">
        <f aca="false">AW29+AX29</f>
        <v>0</v>
      </c>
      <c r="BD29" s="88" t="n">
        <f aca="false">H29/(100-BE29)*100</f>
        <v>0</v>
      </c>
      <c r="BE29" s="88" t="n">
        <v>0</v>
      </c>
      <c r="BF29" s="88" t="n">
        <f aca="false">M29</f>
        <v>0</v>
      </c>
      <c r="BH29" s="88" t="n">
        <f aca="false">G29*AO29</f>
        <v>0</v>
      </c>
      <c r="BI29" s="88" t="n">
        <f aca="false">G29*AP29</f>
        <v>0</v>
      </c>
      <c r="BJ29" s="88" t="n">
        <f aca="false">G29*H29</f>
        <v>0</v>
      </c>
      <c r="BK29" s="87" t="s">
        <v>159</v>
      </c>
      <c r="BL29" s="88" t="n">
        <v>38</v>
      </c>
      <c r="BW29" s="88" t="n">
        <v>21</v>
      </c>
      <c r="BX29" s="9" t="s">
        <v>589</v>
      </c>
    </row>
    <row r="30" customFormat="false" ht="15" hidden="false" customHeight="true" outlineLevel="0" collapsed="false">
      <c r="A30" s="128"/>
      <c r="B30" s="129" t="s">
        <v>111</v>
      </c>
      <c r="C30" s="129" t="s">
        <v>590</v>
      </c>
      <c r="D30" s="130" t="s">
        <v>112</v>
      </c>
      <c r="E30" s="130"/>
      <c r="F30" s="128" t="s">
        <v>97</v>
      </c>
      <c r="G30" s="131" t="s">
        <v>97</v>
      </c>
      <c r="H30" s="128" t="s">
        <v>97</v>
      </c>
      <c r="I30" s="132" t="n">
        <f aca="false">ROUND(SUM(I31:I33),2)</f>
        <v>0</v>
      </c>
      <c r="J30" s="132" t="n">
        <f aca="false">ROUND(SUM(J31:J33),2)</f>
        <v>0</v>
      </c>
      <c r="K30" s="132" t="n">
        <f aca="false">ROUND(SUM(K31:K33),2)</f>
        <v>0</v>
      </c>
      <c r="L30" s="133"/>
      <c r="M30" s="132" t="n">
        <f aca="false">SUM(M31:M33)</f>
        <v>1.53</v>
      </c>
      <c r="N30" s="133"/>
      <c r="AI30" s="116" t="s">
        <v>111</v>
      </c>
      <c r="AS30" s="107" t="n">
        <f aca="false">SUM(AJ31:AJ33)</f>
        <v>0</v>
      </c>
      <c r="AT30" s="107" t="n">
        <f aca="false">SUM(AK31:AK33)</f>
        <v>0</v>
      </c>
      <c r="AU30" s="107" t="n">
        <f aca="false">SUM(AL31:AL33)</f>
        <v>0</v>
      </c>
    </row>
    <row r="31" customFormat="false" ht="23.85" hidden="false" customHeight="true" outlineLevel="0" collapsed="false">
      <c r="A31" s="134" t="s">
        <v>206</v>
      </c>
      <c r="B31" s="134" t="s">
        <v>111</v>
      </c>
      <c r="C31" s="134" t="s">
        <v>592</v>
      </c>
      <c r="D31" s="135" t="s">
        <v>593</v>
      </c>
      <c r="E31" s="135"/>
      <c r="F31" s="134" t="s">
        <v>594</v>
      </c>
      <c r="G31" s="136" t="n">
        <f aca="false">'Stavební rozpočet'!G171</f>
        <v>6</v>
      </c>
      <c r="H31" s="137" t="n">
        <f aca="false">'Stavební rozpočet'!H171</f>
        <v>0</v>
      </c>
      <c r="I31" s="137" t="n">
        <f aca="false">ROUND(G31*AO31,2)</f>
        <v>0</v>
      </c>
      <c r="J31" s="137" t="n">
        <f aca="false">ROUND(G31*AP31,2)</f>
        <v>0</v>
      </c>
      <c r="K31" s="137" t="n">
        <f aca="false">ROUND(G31*H31,2)</f>
        <v>0</v>
      </c>
      <c r="L31" s="137" t="n">
        <f aca="false">'Stavební rozpočet'!L171</f>
        <v>0.25</v>
      </c>
      <c r="M31" s="137" t="n">
        <f aca="false">G31*L31</f>
        <v>1.5</v>
      </c>
      <c r="N31" s="138"/>
      <c r="Z31" s="88" t="n">
        <f aca="false">ROUND(IF(AQ31="5",BJ31,0),2)</f>
        <v>0</v>
      </c>
      <c r="AB31" s="88" t="n">
        <f aca="false">ROUND(IF(AQ31="1",BH31,0),2)</f>
        <v>0</v>
      </c>
      <c r="AC31" s="88" t="n">
        <f aca="false">ROUND(IF(AQ31="1",BI31,0),2)</f>
        <v>0</v>
      </c>
      <c r="AD31" s="88" t="n">
        <f aca="false">ROUND(IF(AQ31="7",BH31,0),2)</f>
        <v>0</v>
      </c>
      <c r="AE31" s="88" t="n">
        <f aca="false">ROUND(IF(AQ31="7",BI31,0),2)</f>
        <v>0</v>
      </c>
      <c r="AF31" s="88" t="n">
        <f aca="false">ROUND(IF(AQ31="2",BH31,0),2)</f>
        <v>0</v>
      </c>
      <c r="AG31" s="88" t="n">
        <f aca="false">ROUND(IF(AQ31="2",BI31,0),2)</f>
        <v>0</v>
      </c>
      <c r="AH31" s="88" t="n">
        <f aca="false">ROUND(IF(AQ31="0",BJ31,0),2)</f>
        <v>0</v>
      </c>
      <c r="AI31" s="116" t="s">
        <v>111</v>
      </c>
      <c r="AJ31" s="88" t="n">
        <f aca="false">IF(AN31=0,K31,0)</f>
        <v>0</v>
      </c>
      <c r="AK31" s="88" t="n">
        <f aca="false">IF(AN31=12,K31,0)</f>
        <v>0</v>
      </c>
      <c r="AL31" s="88" t="n">
        <f aca="false">IF(AN31=21,K31,0)</f>
        <v>0</v>
      </c>
      <c r="AN31" s="88" t="n">
        <v>21</v>
      </c>
      <c r="AO31" s="88" t="n">
        <f aca="false">H31*0.955752212</f>
        <v>0</v>
      </c>
      <c r="AP31" s="88" t="n">
        <f aca="false">H31*(1-0.955752212)</f>
        <v>0</v>
      </c>
      <c r="AQ31" s="87" t="s">
        <v>176</v>
      </c>
      <c r="AV31" s="88" t="n">
        <f aca="false">ROUND(AW31+AX31,2)</f>
        <v>0</v>
      </c>
      <c r="AW31" s="88" t="n">
        <f aca="false">ROUND(G31*AO31,2)</f>
        <v>0</v>
      </c>
      <c r="AX31" s="88" t="n">
        <f aca="false">ROUND(G31*AP31,2)</f>
        <v>0</v>
      </c>
      <c r="AY31" s="87" t="s">
        <v>595</v>
      </c>
      <c r="AZ31" s="87" t="s">
        <v>596</v>
      </c>
      <c r="BA31" s="116" t="s">
        <v>552</v>
      </c>
      <c r="BC31" s="88" t="n">
        <f aca="false">AW31+AX31</f>
        <v>0</v>
      </c>
      <c r="BD31" s="88" t="n">
        <f aca="false">H31/(100-BE31)*100</f>
        <v>0</v>
      </c>
      <c r="BE31" s="88" t="n">
        <v>0</v>
      </c>
      <c r="BF31" s="88" t="n">
        <f aca="false">M31</f>
        <v>1.5</v>
      </c>
      <c r="BH31" s="88" t="n">
        <f aca="false">G31*AO31</f>
        <v>0</v>
      </c>
      <c r="BI31" s="88" t="n">
        <f aca="false">G31*AP31</f>
        <v>0</v>
      </c>
      <c r="BJ31" s="88" t="n">
        <f aca="false">G31*H31</f>
        <v>0</v>
      </c>
      <c r="BK31" s="87" t="s">
        <v>159</v>
      </c>
      <c r="BL31" s="88"/>
      <c r="BW31" s="88" t="n">
        <v>21</v>
      </c>
      <c r="BX31" s="9" t="s">
        <v>593</v>
      </c>
    </row>
    <row r="32" customFormat="false" ht="35.5" hidden="false" customHeight="true" outlineLevel="0" collapsed="false">
      <c r="A32" s="134" t="s">
        <v>210</v>
      </c>
      <c r="B32" s="134" t="s">
        <v>111</v>
      </c>
      <c r="C32" s="134" t="s">
        <v>598</v>
      </c>
      <c r="D32" s="135" t="s">
        <v>599</v>
      </c>
      <c r="E32" s="135"/>
      <c r="F32" s="134" t="s">
        <v>594</v>
      </c>
      <c r="G32" s="136" t="n">
        <f aca="false">'Stavební rozpočet'!G172</f>
        <v>1</v>
      </c>
      <c r="H32" s="137" t="n">
        <f aca="false">'Stavební rozpočet'!H172</f>
        <v>0</v>
      </c>
      <c r="I32" s="137" t="n">
        <f aca="false">ROUND(G32*AO32,2)</f>
        <v>0</v>
      </c>
      <c r="J32" s="137" t="n">
        <f aca="false">ROUND(G32*AP32,2)</f>
        <v>0</v>
      </c>
      <c r="K32" s="137" t="n">
        <f aca="false">ROUND(G32*H32,2)</f>
        <v>0</v>
      </c>
      <c r="L32" s="137" t="n">
        <f aca="false">'Stavební rozpočet'!L172</f>
        <v>0.03</v>
      </c>
      <c r="M32" s="137" t="n">
        <f aca="false">G32*L32</f>
        <v>0.03</v>
      </c>
      <c r="N32" s="138"/>
      <c r="Z32" s="88" t="n">
        <f aca="false">ROUND(IF(AQ32="5",BJ32,0),2)</f>
        <v>0</v>
      </c>
      <c r="AB32" s="88" t="n">
        <f aca="false">ROUND(IF(AQ32="1",BH32,0),2)</f>
        <v>0</v>
      </c>
      <c r="AC32" s="88" t="n">
        <f aca="false">ROUND(IF(AQ32="1",BI32,0),2)</f>
        <v>0</v>
      </c>
      <c r="AD32" s="88" t="n">
        <f aca="false">ROUND(IF(AQ32="7",BH32,0),2)</f>
        <v>0</v>
      </c>
      <c r="AE32" s="88" t="n">
        <f aca="false">ROUND(IF(AQ32="7",BI32,0),2)</f>
        <v>0</v>
      </c>
      <c r="AF32" s="88" t="n">
        <f aca="false">ROUND(IF(AQ32="2",BH32,0),2)</f>
        <v>0</v>
      </c>
      <c r="AG32" s="88" t="n">
        <f aca="false">ROUND(IF(AQ32="2",BI32,0),2)</f>
        <v>0</v>
      </c>
      <c r="AH32" s="88" t="n">
        <f aca="false">ROUND(IF(AQ32="0",BJ32,0),2)</f>
        <v>0</v>
      </c>
      <c r="AI32" s="116" t="s">
        <v>111</v>
      </c>
      <c r="AJ32" s="88" t="n">
        <f aca="false">IF(AN32=0,K32,0)</f>
        <v>0</v>
      </c>
      <c r="AK32" s="88" t="n">
        <f aca="false">IF(AN32=12,K32,0)</f>
        <v>0</v>
      </c>
      <c r="AL32" s="88" t="n">
        <f aca="false">IF(AN32=21,K32,0)</f>
        <v>0</v>
      </c>
      <c r="AN32" s="88" t="n">
        <v>21</v>
      </c>
      <c r="AO32" s="88" t="n">
        <f aca="false">H32*0.9228</f>
        <v>0</v>
      </c>
      <c r="AP32" s="88" t="n">
        <f aca="false">H32*(1-0.9228)</f>
        <v>0</v>
      </c>
      <c r="AQ32" s="87" t="s">
        <v>176</v>
      </c>
      <c r="AV32" s="88" t="n">
        <f aca="false">ROUND(AW32+AX32,2)</f>
        <v>0</v>
      </c>
      <c r="AW32" s="88" t="n">
        <f aca="false">ROUND(G32*AO32,2)</f>
        <v>0</v>
      </c>
      <c r="AX32" s="88" t="n">
        <f aca="false">ROUND(G32*AP32,2)</f>
        <v>0</v>
      </c>
      <c r="AY32" s="87" t="s">
        <v>595</v>
      </c>
      <c r="AZ32" s="87" t="s">
        <v>596</v>
      </c>
      <c r="BA32" s="116" t="s">
        <v>552</v>
      </c>
      <c r="BC32" s="88" t="n">
        <f aca="false">AW32+AX32</f>
        <v>0</v>
      </c>
      <c r="BD32" s="88" t="n">
        <f aca="false">H32/(100-BE32)*100</f>
        <v>0</v>
      </c>
      <c r="BE32" s="88" t="n">
        <v>0</v>
      </c>
      <c r="BF32" s="88" t="n">
        <f aca="false">M32</f>
        <v>0.03</v>
      </c>
      <c r="BH32" s="88" t="n">
        <f aca="false">G32*AO32</f>
        <v>0</v>
      </c>
      <c r="BI32" s="88" t="n">
        <f aca="false">G32*AP32</f>
        <v>0</v>
      </c>
      <c r="BJ32" s="88" t="n">
        <f aca="false">G32*H32</f>
        <v>0</v>
      </c>
      <c r="BK32" s="87" t="s">
        <v>159</v>
      </c>
      <c r="BL32" s="88"/>
      <c r="BW32" s="88" t="n">
        <v>21</v>
      </c>
      <c r="BX32" s="9" t="s">
        <v>599</v>
      </c>
    </row>
    <row r="33" customFormat="false" ht="15" hidden="false" customHeight="true" outlineLevel="0" collapsed="false">
      <c r="A33" s="134" t="s">
        <v>213</v>
      </c>
      <c r="B33" s="134" t="s">
        <v>111</v>
      </c>
      <c r="C33" s="134" t="s">
        <v>334</v>
      </c>
      <c r="D33" s="135" t="s">
        <v>589</v>
      </c>
      <c r="E33" s="135"/>
      <c r="F33" s="134" t="s">
        <v>179</v>
      </c>
      <c r="G33" s="136" t="n">
        <f aca="false">'Stavební rozpočet'!G173</f>
        <v>1.53</v>
      </c>
      <c r="H33" s="137" t="n">
        <f aca="false">'Stavební rozpočet'!H173</f>
        <v>0</v>
      </c>
      <c r="I33" s="137" t="n">
        <f aca="false">ROUND(G33*AO33,2)</f>
        <v>0</v>
      </c>
      <c r="J33" s="137" t="n">
        <f aca="false">ROUND(G33*AP33,2)</f>
        <v>0</v>
      </c>
      <c r="K33" s="137" t="n">
        <f aca="false">ROUND(G33*H33,2)</f>
        <v>0</v>
      </c>
      <c r="L33" s="137" t="n">
        <f aca="false">'Stavební rozpočet'!L173</f>
        <v>0</v>
      </c>
      <c r="M33" s="137" t="n">
        <f aca="false">G33*L33</f>
        <v>0</v>
      </c>
      <c r="N33" s="138" t="s">
        <v>155</v>
      </c>
      <c r="Z33" s="88" t="n">
        <f aca="false">ROUND(IF(AQ33="5",BJ33,0),2)</f>
        <v>0</v>
      </c>
      <c r="AB33" s="88" t="n">
        <f aca="false">ROUND(IF(AQ33="1",BH33,0),2)</f>
        <v>0</v>
      </c>
      <c r="AC33" s="88" t="n">
        <f aca="false">ROUND(IF(AQ33="1",BI33,0),2)</f>
        <v>0</v>
      </c>
      <c r="AD33" s="88" t="n">
        <f aca="false">ROUND(IF(AQ33="7",BH33,0),2)</f>
        <v>0</v>
      </c>
      <c r="AE33" s="88" t="n">
        <f aca="false">ROUND(IF(AQ33="7",BI33,0),2)</f>
        <v>0</v>
      </c>
      <c r="AF33" s="88" t="n">
        <f aca="false">ROUND(IF(AQ33="2",BH33,0),2)</f>
        <v>0</v>
      </c>
      <c r="AG33" s="88" t="n">
        <f aca="false">ROUND(IF(AQ33="2",BI33,0),2)</f>
        <v>0</v>
      </c>
      <c r="AH33" s="88" t="n">
        <f aca="false">ROUND(IF(AQ33="0",BJ33,0),2)</f>
        <v>0</v>
      </c>
      <c r="AI33" s="116" t="s">
        <v>111</v>
      </c>
      <c r="AJ33" s="88" t="n">
        <f aca="false">IF(AN33=0,K33,0)</f>
        <v>0</v>
      </c>
      <c r="AK33" s="88" t="n">
        <f aca="false">IF(AN33=12,K33,0)</f>
        <v>0</v>
      </c>
      <c r="AL33" s="88" t="n">
        <f aca="false">IF(AN33=21,K33,0)</f>
        <v>0</v>
      </c>
      <c r="AN33" s="88" t="n">
        <v>21</v>
      </c>
      <c r="AO33" s="88" t="n">
        <f aca="false">H33*0</f>
        <v>0</v>
      </c>
      <c r="AP33" s="88" t="n">
        <f aca="false">H33*(1-0)</f>
        <v>0</v>
      </c>
      <c r="AQ33" s="87" t="s">
        <v>170</v>
      </c>
      <c r="AV33" s="88" t="n">
        <f aca="false">ROUND(AW33+AX33,2)</f>
        <v>0</v>
      </c>
      <c r="AW33" s="88" t="n">
        <f aca="false">ROUND(G33*AO33,2)</f>
        <v>0</v>
      </c>
      <c r="AX33" s="88" t="n">
        <f aca="false">ROUND(G33*AP33,2)</f>
        <v>0</v>
      </c>
      <c r="AY33" s="87" t="s">
        <v>595</v>
      </c>
      <c r="AZ33" s="87" t="s">
        <v>596</v>
      </c>
      <c r="BA33" s="116" t="s">
        <v>552</v>
      </c>
      <c r="BC33" s="88" t="n">
        <f aca="false">AW33+AX33</f>
        <v>0</v>
      </c>
      <c r="BD33" s="88" t="n">
        <f aca="false">H33/(100-BE33)*100</f>
        <v>0</v>
      </c>
      <c r="BE33" s="88" t="n">
        <v>0</v>
      </c>
      <c r="BF33" s="88" t="n">
        <f aca="false">M33</f>
        <v>0</v>
      </c>
      <c r="BH33" s="88" t="n">
        <f aca="false">G33*AO33</f>
        <v>0</v>
      </c>
      <c r="BI33" s="88" t="n">
        <f aca="false">G33*AP33</f>
        <v>0</v>
      </c>
      <c r="BJ33" s="88" t="n">
        <f aca="false">G33*H33</f>
        <v>0</v>
      </c>
      <c r="BK33" s="87" t="s">
        <v>159</v>
      </c>
      <c r="BL33" s="88"/>
      <c r="BW33" s="88" t="n">
        <v>21</v>
      </c>
      <c r="BX33" s="9" t="s">
        <v>589</v>
      </c>
    </row>
    <row r="34" customFormat="false" ht="15" hidden="false" customHeight="true" outlineLevel="0" collapsed="false">
      <c r="A34" s="128"/>
      <c r="B34" s="129" t="s">
        <v>111</v>
      </c>
      <c r="C34" s="129" t="s">
        <v>601</v>
      </c>
      <c r="D34" s="130" t="s">
        <v>602</v>
      </c>
      <c r="E34" s="130"/>
      <c r="F34" s="128" t="s">
        <v>97</v>
      </c>
      <c r="G34" s="131" t="s">
        <v>97</v>
      </c>
      <c r="H34" s="128" t="s">
        <v>97</v>
      </c>
      <c r="I34" s="132" t="n">
        <f aca="false">ROUND(SUM(I35),2)</f>
        <v>0</v>
      </c>
      <c r="J34" s="132" t="n">
        <f aca="false">ROUND(SUM(J35),2)</f>
        <v>0</v>
      </c>
      <c r="K34" s="132" t="n">
        <f aca="false">ROUND(SUM(K35),2)</f>
        <v>0</v>
      </c>
      <c r="L34" s="133"/>
      <c r="M34" s="132" t="n">
        <f aca="false">SUM(M35)</f>
        <v>0</v>
      </c>
      <c r="N34" s="133"/>
      <c r="AI34" s="116" t="s">
        <v>111</v>
      </c>
      <c r="AS34" s="107" t="n">
        <f aca="false">SUM(AJ35)</f>
        <v>0</v>
      </c>
      <c r="AT34" s="107" t="n">
        <f aca="false">SUM(AK35)</f>
        <v>0</v>
      </c>
      <c r="AU34" s="107" t="n">
        <f aca="false">SUM(AL35)</f>
        <v>0</v>
      </c>
    </row>
    <row r="35" customFormat="false" ht="15" hidden="false" customHeight="true" outlineLevel="0" collapsed="false">
      <c r="A35" s="134" t="s">
        <v>216</v>
      </c>
      <c r="B35" s="134" t="s">
        <v>111</v>
      </c>
      <c r="C35" s="134" t="s">
        <v>182</v>
      </c>
      <c r="D35" s="135" t="s">
        <v>183</v>
      </c>
      <c r="E35" s="135"/>
      <c r="F35" s="134" t="s">
        <v>179</v>
      </c>
      <c r="G35" s="136" t="n">
        <f aca="false">'Stavební rozpočet'!G175</f>
        <v>3.224</v>
      </c>
      <c r="H35" s="137" t="n">
        <f aca="false">'Stavební rozpočet'!H175</f>
        <v>0</v>
      </c>
      <c r="I35" s="137" t="n">
        <f aca="false">ROUND(G35*AO35,2)</f>
        <v>0</v>
      </c>
      <c r="J35" s="137" t="n">
        <f aca="false">ROUND(G35*AP35,2)</f>
        <v>0</v>
      </c>
      <c r="K35" s="137" t="n">
        <f aca="false">ROUND(G35*H35,2)</f>
        <v>0</v>
      </c>
      <c r="L35" s="137" t="n">
        <f aca="false">'Stavební rozpočet'!L175</f>
        <v>0</v>
      </c>
      <c r="M35" s="137" t="n">
        <f aca="false">G35*L35</f>
        <v>0</v>
      </c>
      <c r="N35" s="138" t="s">
        <v>155</v>
      </c>
      <c r="Z35" s="88" t="n">
        <f aca="false">ROUND(IF(AQ35="5",BJ35,0),2)</f>
        <v>0</v>
      </c>
      <c r="AB35" s="88" t="n">
        <f aca="false">ROUND(IF(AQ35="1",BH35,0),2)</f>
        <v>0</v>
      </c>
      <c r="AC35" s="88" t="n">
        <f aca="false">ROUND(IF(AQ35="1",BI35,0),2)</f>
        <v>0</v>
      </c>
      <c r="AD35" s="88" t="n">
        <f aca="false">ROUND(IF(AQ35="7",BH35,0),2)</f>
        <v>0</v>
      </c>
      <c r="AE35" s="88" t="n">
        <f aca="false">ROUND(IF(AQ35="7",BI35,0),2)</f>
        <v>0</v>
      </c>
      <c r="AF35" s="88" t="n">
        <f aca="false">ROUND(IF(AQ35="2",BH35,0),2)</f>
        <v>0</v>
      </c>
      <c r="AG35" s="88" t="n">
        <f aca="false">ROUND(IF(AQ35="2",BI35,0),2)</f>
        <v>0</v>
      </c>
      <c r="AH35" s="88" t="n">
        <f aca="false">ROUND(IF(AQ35="0",BJ35,0),2)</f>
        <v>0</v>
      </c>
      <c r="AI35" s="116" t="s">
        <v>111</v>
      </c>
      <c r="AJ35" s="88" t="n">
        <f aca="false">IF(AN35=0,K35,0)</f>
        <v>0</v>
      </c>
      <c r="AK35" s="88" t="n">
        <f aca="false">IF(AN35=12,K35,0)</f>
        <v>0</v>
      </c>
      <c r="AL35" s="88" t="n">
        <f aca="false">IF(AN35=21,K35,0)</f>
        <v>0</v>
      </c>
      <c r="AN35" s="88" t="n">
        <v>21</v>
      </c>
      <c r="AO35" s="88" t="n">
        <f aca="false">H35*0</f>
        <v>0</v>
      </c>
      <c r="AP35" s="88" t="n">
        <f aca="false">H35*(1-0)</f>
        <v>0</v>
      </c>
      <c r="AQ35" s="87" t="s">
        <v>170</v>
      </c>
      <c r="AV35" s="88" t="n">
        <f aca="false">ROUND(AW35+AX35,2)</f>
        <v>0</v>
      </c>
      <c r="AW35" s="88" t="n">
        <f aca="false">ROUND(G35*AO35,2)</f>
        <v>0</v>
      </c>
      <c r="AX35" s="88" t="n">
        <f aca="false">ROUND(G35*AP35,2)</f>
        <v>0</v>
      </c>
      <c r="AY35" s="87" t="s">
        <v>604</v>
      </c>
      <c r="AZ35" s="87" t="s">
        <v>605</v>
      </c>
      <c r="BA35" s="116" t="s">
        <v>552</v>
      </c>
      <c r="BC35" s="88" t="n">
        <f aca="false">AW35+AX35</f>
        <v>0</v>
      </c>
      <c r="BD35" s="88" t="n">
        <f aca="false">H35/(100-BE35)*100</f>
        <v>0</v>
      </c>
      <c r="BE35" s="88" t="n">
        <v>0</v>
      </c>
      <c r="BF35" s="88" t="n">
        <f aca="false">M35</f>
        <v>0</v>
      </c>
      <c r="BH35" s="88" t="n">
        <f aca="false">G35*AO35</f>
        <v>0</v>
      </c>
      <c r="BI35" s="88" t="n">
        <f aca="false">G35*AP35</f>
        <v>0</v>
      </c>
      <c r="BJ35" s="88" t="n">
        <f aca="false">G35*H35</f>
        <v>0</v>
      </c>
      <c r="BK35" s="87" t="s">
        <v>159</v>
      </c>
      <c r="BL35" s="88"/>
      <c r="BW35" s="88" t="n">
        <v>21</v>
      </c>
      <c r="BX35" s="9" t="s">
        <v>183</v>
      </c>
    </row>
    <row r="36" customFormat="false" ht="19.85" hidden="false" customHeight="true" outlineLevel="0" collapsed="false">
      <c r="I36" s="101" t="s">
        <v>114</v>
      </c>
      <c r="J36" s="101"/>
      <c r="K36" s="167" t="n">
        <f aca="false">ROUND(SUM(K13,K16,K20,K22,K24,K30,K34),1)</f>
        <v>0</v>
      </c>
    </row>
    <row r="37" customFormat="false" ht="15" hidden="false" customHeight="false" outlineLevel="0" collapsed="false">
      <c r="A37" s="1"/>
    </row>
    <row r="38" customFormat="false" ht="15" hidden="true" customHeight="false" outlineLevel="0" collapsed="false">
      <c r="A38" s="9"/>
      <c r="B38" s="9"/>
      <c r="C38" s="9"/>
      <c r="D38" s="9"/>
      <c r="E38" s="9"/>
      <c r="F38" s="9"/>
      <c r="G38" s="9"/>
      <c r="H38" s="9"/>
      <c r="I38" s="9"/>
      <c r="J38" s="9"/>
      <c r="K38" s="9"/>
      <c r="L38" s="9"/>
      <c r="M38" s="9"/>
      <c r="N38" s="9"/>
    </row>
  </sheetData>
  <mergeCells count="55">
    <mergeCell ref="A1:N1"/>
    <mergeCell ref="A2:B3"/>
    <mergeCell ref="C2:D3"/>
    <mergeCell ref="E2:E3"/>
    <mergeCell ref="F2:G3"/>
    <mergeCell ref="H2:H3"/>
    <mergeCell ref="I2:N3"/>
    <mergeCell ref="A4:B5"/>
    <mergeCell ref="C4:D5"/>
    <mergeCell ref="E4:E5"/>
    <mergeCell ref="F4:G5"/>
    <mergeCell ref="H4:H5"/>
    <mergeCell ref="I4:N5"/>
    <mergeCell ref="A6:B7"/>
    <mergeCell ref="C6:D7"/>
    <mergeCell ref="E6:E7"/>
    <mergeCell ref="F6:G7"/>
    <mergeCell ref="H6:H7"/>
    <mergeCell ref="I6:N7"/>
    <mergeCell ref="A8:B9"/>
    <mergeCell ref="C8:D9"/>
    <mergeCell ref="E8:E9"/>
    <mergeCell ref="F8:G9"/>
    <mergeCell ref="H8:H9"/>
    <mergeCell ref="I8:N9"/>
    <mergeCell ref="D10:E10"/>
    <mergeCell ref="I10:K10"/>
    <mergeCell ref="L10:M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I36:J36"/>
    <mergeCell ref="A38:N38"/>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06292"/>
    <pageSetUpPr fitToPage="true"/>
  </sheetPr>
  <dimension ref="A1:H5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1484375" defaultRowHeight="15" customHeight="true" zeroHeight="false" outlineLevelRow="0" outlineLevelCol="0"/>
  <cols>
    <col collapsed="false" customWidth="true" hidden="false" outlineLevel="0" max="1" min="1" style="22" width="6.61"/>
    <col collapsed="false" customWidth="true" hidden="false" outlineLevel="0" max="2" min="2" style="22" width="9.86"/>
    <col collapsed="false" customWidth="true" hidden="false" outlineLevel="0" max="3" min="3" style="22" width="15.72"/>
    <col collapsed="false" customWidth="true" hidden="false" outlineLevel="0" max="4" min="4" style="103" width="42.86"/>
    <col collapsed="false" customWidth="true" hidden="false" outlineLevel="0" max="5" min="5" style="22" width="49.66"/>
    <col collapsed="false" customWidth="true" hidden="false" outlineLevel="0" max="6" min="6" style="22" width="24.14"/>
    <col collapsed="false" customWidth="true" hidden="false" outlineLevel="0" max="7" min="7" style="22" width="15.71"/>
    <col collapsed="false" customWidth="true" hidden="false" outlineLevel="0" max="8" min="8" style="22" width="20"/>
  </cols>
  <sheetData>
    <row r="1" customFormat="false" ht="39.7" hidden="false" customHeight="true" outlineLevel="0" collapsed="false">
      <c r="A1" s="106" t="s">
        <v>792</v>
      </c>
      <c r="B1" s="106"/>
      <c r="C1" s="106"/>
      <c r="D1" s="106"/>
      <c r="E1" s="106"/>
      <c r="F1" s="106"/>
      <c r="G1" s="106"/>
      <c r="H1" s="106"/>
    </row>
    <row r="2" customFormat="false" ht="15" hidden="false" customHeight="true" outlineLevel="0" collapsed="false">
      <c r="A2" s="3" t="s">
        <v>1</v>
      </c>
      <c r="B2" s="3"/>
      <c r="C2" s="4" t="str">
        <f aca="false">'Stavební rozpočet'!C2</f>
        <v>Přeměna sídlištních ploch – II. Etapa _ Fontána Jablko</v>
      </c>
      <c r="D2" s="4"/>
      <c r="E2" s="5" t="s">
        <v>2</v>
      </c>
      <c r="F2" s="73" t="str">
        <f aca="false">'Stavební rozpočet'!I2</f>
        <v>Městská část Praha 12, Generála Šišky 2375/6, 143</v>
      </c>
      <c r="G2" s="73"/>
      <c r="H2" s="73"/>
    </row>
    <row r="3" customFormat="false" ht="15" hidden="false" customHeight="false" outlineLevel="0" collapsed="false">
      <c r="A3" s="3"/>
      <c r="B3" s="3"/>
      <c r="C3" s="4"/>
      <c r="D3" s="4"/>
      <c r="E3" s="5"/>
      <c r="F3" s="5"/>
      <c r="G3" s="73"/>
      <c r="H3" s="73"/>
    </row>
    <row r="4" customFormat="false" ht="15" hidden="false" customHeight="true" outlineLevel="0" collapsed="false">
      <c r="A4" s="8" t="s">
        <v>5</v>
      </c>
      <c r="B4" s="8"/>
      <c r="C4" s="9" t="str">
        <f aca="false">'Stavební rozpočet'!C4</f>
        <v>Stavební úpravy veřejného prostranství _Fontána Jablko</v>
      </c>
      <c r="D4" s="9"/>
      <c r="E4" s="9" t="s">
        <v>6</v>
      </c>
      <c r="F4" s="74" t="str">
        <f aca="false">'Stavební rozpočet'!I4</f>
        <v>HUA HUA ARCHITECTS s.r.o., Porážka 459/2, 602 00 Brno</v>
      </c>
      <c r="G4" s="74"/>
      <c r="H4" s="74"/>
    </row>
    <row r="5" customFormat="false" ht="15" hidden="false" customHeight="false" outlineLevel="0" collapsed="false">
      <c r="A5" s="8"/>
      <c r="B5" s="8"/>
      <c r="C5" s="9"/>
      <c r="D5" s="9"/>
      <c r="E5" s="9"/>
      <c r="F5" s="9"/>
      <c r="G5" s="74"/>
      <c r="H5" s="74"/>
    </row>
    <row r="6" customFormat="false" ht="15" hidden="false" customHeight="true" outlineLevel="0" collapsed="false">
      <c r="A6" s="8" t="s">
        <v>8</v>
      </c>
      <c r="B6" s="8"/>
      <c r="C6" s="9" t="str">
        <f aca="false">'Stavební rozpočet'!C6</f>
        <v>Praha (554782),Modřany (728616), par.č. 4400/448</v>
      </c>
      <c r="D6" s="9"/>
      <c r="E6" s="9" t="s">
        <v>9</v>
      </c>
      <c r="F6" s="74" t="str">
        <f aca="false">'Stavební rozpočet'!I6</f>
        <v> </v>
      </c>
      <c r="G6" s="74"/>
      <c r="H6" s="74"/>
    </row>
    <row r="7" customFormat="false" ht="15" hidden="false" customHeight="false" outlineLevel="0" collapsed="false">
      <c r="A7" s="8"/>
      <c r="B7" s="8"/>
      <c r="C7" s="9"/>
      <c r="D7" s="9"/>
      <c r="E7" s="9"/>
      <c r="F7" s="9"/>
      <c r="G7" s="74"/>
      <c r="H7" s="74"/>
    </row>
    <row r="8" customFormat="false" ht="15" hidden="false" customHeight="true" outlineLevel="0" collapsed="false">
      <c r="A8" s="8" t="s">
        <v>14</v>
      </c>
      <c r="B8" s="8"/>
      <c r="C8" s="9" t="str">
        <f aca="false">'Stavební rozpočet'!I8</f>
        <v>Bohuslav Hemala</v>
      </c>
      <c r="D8" s="9"/>
      <c r="E8" s="9" t="s">
        <v>96</v>
      </c>
      <c r="F8" s="74" t="str">
        <f aca="false">'Stavební rozpočet'!F8</f>
        <v>08.01.2026</v>
      </c>
      <c r="G8" s="74"/>
      <c r="H8" s="74"/>
    </row>
    <row r="9" customFormat="false" ht="15" hidden="false" customHeight="false" outlineLevel="0" collapsed="false">
      <c r="A9" s="8"/>
      <c r="B9" s="8"/>
      <c r="C9" s="9"/>
      <c r="D9" s="9"/>
      <c r="E9" s="9"/>
      <c r="F9" s="9"/>
      <c r="G9" s="74"/>
      <c r="H9" s="74"/>
    </row>
    <row r="10" customFormat="false" ht="15" hidden="false" customHeight="true" outlineLevel="0" collapsed="false">
      <c r="A10" s="169" t="s">
        <v>124</v>
      </c>
      <c r="B10" s="170" t="s">
        <v>100</v>
      </c>
      <c r="C10" s="170" t="s">
        <v>125</v>
      </c>
      <c r="D10" s="171" t="s">
        <v>101</v>
      </c>
      <c r="E10" s="171"/>
      <c r="F10" s="170" t="s">
        <v>126</v>
      </c>
      <c r="G10" s="172" t="s">
        <v>127</v>
      </c>
      <c r="H10" s="173" t="s">
        <v>637</v>
      </c>
    </row>
    <row r="11" customFormat="false" ht="15" hidden="false" customHeight="true" outlineLevel="0" collapsed="false">
      <c r="A11" s="129"/>
      <c r="B11" s="129" t="s">
        <v>638</v>
      </c>
      <c r="C11" s="129" t="s">
        <v>206</v>
      </c>
      <c r="D11" s="130" t="s">
        <v>234</v>
      </c>
      <c r="E11" s="130"/>
      <c r="F11" s="129"/>
      <c r="G11" s="133"/>
      <c r="H11" s="133"/>
    </row>
    <row r="12" customFormat="false" ht="15" hidden="false" customHeight="true" outlineLevel="0" collapsed="false">
      <c r="A12" s="129"/>
      <c r="B12" s="129" t="s">
        <v>638</v>
      </c>
      <c r="C12" s="129" t="s">
        <v>216</v>
      </c>
      <c r="D12" s="130" t="s">
        <v>556</v>
      </c>
      <c r="E12" s="130"/>
      <c r="F12" s="129"/>
      <c r="G12" s="133"/>
      <c r="H12" s="133"/>
    </row>
    <row r="13" customFormat="false" ht="15" hidden="false" customHeight="true" outlineLevel="0" collapsed="false">
      <c r="A13" s="129"/>
      <c r="B13" s="129" t="s">
        <v>638</v>
      </c>
      <c r="C13" s="129" t="s">
        <v>231</v>
      </c>
      <c r="D13" s="130" t="s">
        <v>563</v>
      </c>
      <c r="E13" s="130"/>
      <c r="F13" s="129"/>
      <c r="G13" s="133"/>
      <c r="H13" s="133"/>
    </row>
    <row r="14" customFormat="false" ht="15" hidden="false" customHeight="true" outlineLevel="0" collapsed="false">
      <c r="A14" s="129"/>
      <c r="B14" s="129" t="s">
        <v>638</v>
      </c>
      <c r="C14" s="129" t="s">
        <v>253</v>
      </c>
      <c r="D14" s="130" t="s">
        <v>568</v>
      </c>
      <c r="E14" s="130"/>
      <c r="F14" s="129"/>
      <c r="G14" s="133"/>
      <c r="H14" s="133"/>
    </row>
    <row r="15" customFormat="false" ht="15" hidden="false" customHeight="true" outlineLevel="0" collapsed="false">
      <c r="A15" s="129"/>
      <c r="B15" s="129" t="s">
        <v>638</v>
      </c>
      <c r="C15" s="129" t="s">
        <v>287</v>
      </c>
      <c r="D15" s="130" t="s">
        <v>573</v>
      </c>
      <c r="E15" s="130"/>
      <c r="F15" s="129"/>
      <c r="G15" s="133"/>
      <c r="H15" s="133"/>
    </row>
    <row r="16" customFormat="false" ht="15" hidden="false" customHeight="true" outlineLevel="0" collapsed="false">
      <c r="A16" s="129"/>
      <c r="B16" s="129" t="s">
        <v>638</v>
      </c>
      <c r="C16" s="129" t="s">
        <v>590</v>
      </c>
      <c r="D16" s="130" t="s">
        <v>112</v>
      </c>
      <c r="E16" s="130"/>
      <c r="F16" s="129"/>
      <c r="G16" s="133"/>
      <c r="H16" s="133"/>
    </row>
    <row r="17" customFormat="false" ht="15" hidden="false" customHeight="true" outlineLevel="0" collapsed="false">
      <c r="A17" s="129"/>
      <c r="B17" s="129" t="s">
        <v>638</v>
      </c>
      <c r="C17" s="129" t="s">
        <v>601</v>
      </c>
      <c r="D17" s="130" t="s">
        <v>602</v>
      </c>
      <c r="E17" s="130"/>
      <c r="F17" s="129"/>
      <c r="G17" s="133"/>
      <c r="H17" s="133"/>
    </row>
    <row r="18" customFormat="false" ht="15" hidden="false" customHeight="true" outlineLevel="0" collapsed="false">
      <c r="A18" s="134" t="s">
        <v>151</v>
      </c>
      <c r="B18" s="134" t="s">
        <v>111</v>
      </c>
      <c r="C18" s="134" t="s">
        <v>549</v>
      </c>
      <c r="D18" s="135" t="s">
        <v>550</v>
      </c>
      <c r="E18" s="135"/>
      <c r="F18" s="134" t="s">
        <v>189</v>
      </c>
      <c r="G18" s="137" t="n">
        <v>1.318</v>
      </c>
      <c r="H18" s="137" t="n">
        <v>0</v>
      </c>
    </row>
    <row r="19" customFormat="false" ht="15" hidden="false" customHeight="false" outlineLevel="0" collapsed="false">
      <c r="A19" s="174"/>
      <c r="B19" s="174"/>
      <c r="C19" s="174"/>
      <c r="D19" s="175" t="s">
        <v>738</v>
      </c>
      <c r="E19" s="176" t="s">
        <v>739</v>
      </c>
      <c r="F19" s="176"/>
      <c r="G19" s="177" t="n">
        <v>0.04</v>
      </c>
      <c r="H19" s="174"/>
    </row>
    <row r="20" customFormat="false" ht="15" hidden="false" customHeight="false" outlineLevel="0" collapsed="false">
      <c r="A20" s="134"/>
      <c r="B20" s="134"/>
      <c r="C20" s="134"/>
      <c r="D20" s="175" t="s">
        <v>740</v>
      </c>
      <c r="E20" s="176" t="s">
        <v>741</v>
      </c>
      <c r="F20" s="176"/>
      <c r="G20" s="177" t="n">
        <v>0.915</v>
      </c>
      <c r="H20" s="138"/>
    </row>
    <row r="21" customFormat="false" ht="15" hidden="false" customHeight="false" outlineLevel="0" collapsed="false">
      <c r="A21" s="134"/>
      <c r="B21" s="134"/>
      <c r="C21" s="134"/>
      <c r="D21" s="175" t="s">
        <v>742</v>
      </c>
      <c r="E21" s="176" t="s">
        <v>743</v>
      </c>
      <c r="F21" s="176"/>
      <c r="G21" s="177" t="n">
        <v>0.02</v>
      </c>
      <c r="H21" s="138"/>
    </row>
    <row r="22" customFormat="false" ht="15" hidden="false" customHeight="false" outlineLevel="0" collapsed="false">
      <c r="A22" s="134"/>
      <c r="B22" s="134"/>
      <c r="C22" s="134"/>
      <c r="D22" s="175" t="s">
        <v>744</v>
      </c>
      <c r="E22" s="176" t="s">
        <v>741</v>
      </c>
      <c r="F22" s="176"/>
      <c r="G22" s="177" t="n">
        <v>0.343</v>
      </c>
      <c r="H22" s="138"/>
    </row>
    <row r="23" customFormat="false" ht="15" hidden="false" customHeight="true" outlineLevel="0" collapsed="false">
      <c r="A23" s="134" t="s">
        <v>160</v>
      </c>
      <c r="B23" s="134" t="s">
        <v>111</v>
      </c>
      <c r="C23" s="134" t="s">
        <v>554</v>
      </c>
      <c r="D23" s="135" t="s">
        <v>555</v>
      </c>
      <c r="E23" s="135"/>
      <c r="F23" s="134" t="s">
        <v>189</v>
      </c>
      <c r="G23" s="137" t="n">
        <v>1.318</v>
      </c>
      <c r="H23" s="137" t="n">
        <v>0</v>
      </c>
    </row>
    <row r="24" customFormat="false" ht="15" hidden="false" customHeight="false" outlineLevel="0" collapsed="false">
      <c r="A24" s="174"/>
      <c r="B24" s="174"/>
      <c r="C24" s="174"/>
      <c r="D24" s="175" t="s">
        <v>745</v>
      </c>
      <c r="E24" s="176"/>
      <c r="F24" s="176"/>
      <c r="G24" s="177" t="n">
        <v>1.318</v>
      </c>
      <c r="H24" s="174"/>
    </row>
    <row r="25" customFormat="false" ht="15" hidden="false" customHeight="true" outlineLevel="0" collapsed="false">
      <c r="A25" s="134" t="s">
        <v>164</v>
      </c>
      <c r="B25" s="134" t="s">
        <v>111</v>
      </c>
      <c r="C25" s="134" t="s">
        <v>263</v>
      </c>
      <c r="D25" s="135" t="s">
        <v>558</v>
      </c>
      <c r="E25" s="135"/>
      <c r="F25" s="134" t="s">
        <v>189</v>
      </c>
      <c r="G25" s="137" t="n">
        <v>1.318</v>
      </c>
      <c r="H25" s="137" t="n">
        <v>0</v>
      </c>
    </row>
    <row r="26" customFormat="false" ht="15" hidden="false" customHeight="false" outlineLevel="0" collapsed="false">
      <c r="A26" s="174"/>
      <c r="B26" s="174"/>
      <c r="C26" s="174"/>
      <c r="D26" s="175" t="s">
        <v>745</v>
      </c>
      <c r="E26" s="176"/>
      <c r="F26" s="176"/>
      <c r="G26" s="177" t="n">
        <v>1.318</v>
      </c>
      <c r="H26" s="174"/>
    </row>
    <row r="27" customFormat="false" ht="15" hidden="false" customHeight="true" outlineLevel="0" collapsed="false">
      <c r="A27" s="134" t="s">
        <v>166</v>
      </c>
      <c r="B27" s="134" t="s">
        <v>111</v>
      </c>
      <c r="C27" s="134" t="s">
        <v>266</v>
      </c>
      <c r="D27" s="135" t="s">
        <v>267</v>
      </c>
      <c r="E27" s="135"/>
      <c r="F27" s="134" t="s">
        <v>189</v>
      </c>
      <c r="G27" s="137" t="n">
        <v>19.77</v>
      </c>
      <c r="H27" s="137" t="n">
        <v>0</v>
      </c>
    </row>
    <row r="28" customFormat="false" ht="15" hidden="false" customHeight="false" outlineLevel="0" collapsed="false">
      <c r="A28" s="174"/>
      <c r="B28" s="174"/>
      <c r="C28" s="174"/>
      <c r="D28" s="175" t="s">
        <v>746</v>
      </c>
      <c r="E28" s="176"/>
      <c r="F28" s="176"/>
      <c r="G28" s="177" t="n">
        <v>19.77</v>
      </c>
      <c r="H28" s="174"/>
    </row>
    <row r="29" customFormat="false" ht="15" hidden="false" customHeight="true" outlineLevel="0" collapsed="false">
      <c r="A29" s="134" t="s">
        <v>170</v>
      </c>
      <c r="B29" s="134" t="s">
        <v>111</v>
      </c>
      <c r="C29" s="134" t="s">
        <v>272</v>
      </c>
      <c r="D29" s="135" t="s">
        <v>562</v>
      </c>
      <c r="E29" s="135"/>
      <c r="F29" s="134" t="s">
        <v>189</v>
      </c>
      <c r="G29" s="137" t="n">
        <v>1.318</v>
      </c>
      <c r="H29" s="137" t="n">
        <v>0</v>
      </c>
    </row>
    <row r="30" customFormat="false" ht="15" hidden="false" customHeight="false" outlineLevel="0" collapsed="false">
      <c r="A30" s="174"/>
      <c r="B30" s="174"/>
      <c r="C30" s="174"/>
      <c r="D30" s="175" t="s">
        <v>745</v>
      </c>
      <c r="E30" s="176"/>
      <c r="F30" s="176"/>
      <c r="G30" s="177" t="n">
        <v>1.318</v>
      </c>
      <c r="H30" s="174"/>
    </row>
    <row r="31" customFormat="false" ht="15" hidden="false" customHeight="true" outlineLevel="0" collapsed="false">
      <c r="A31" s="134" t="s">
        <v>173</v>
      </c>
      <c r="B31" s="134" t="s">
        <v>111</v>
      </c>
      <c r="C31" s="134" t="s">
        <v>294</v>
      </c>
      <c r="D31" s="135" t="s">
        <v>565</v>
      </c>
      <c r="E31" s="135"/>
      <c r="F31" s="134" t="s">
        <v>189</v>
      </c>
      <c r="G31" s="137" t="n">
        <v>0.363</v>
      </c>
      <c r="H31" s="137" t="n">
        <v>0</v>
      </c>
    </row>
    <row r="32" customFormat="false" ht="15" hidden="false" customHeight="false" outlineLevel="0" collapsed="false">
      <c r="A32" s="174"/>
      <c r="B32" s="174"/>
      <c r="C32" s="174"/>
      <c r="D32" s="175" t="s">
        <v>742</v>
      </c>
      <c r="E32" s="176" t="s">
        <v>743</v>
      </c>
      <c r="F32" s="176"/>
      <c r="G32" s="177" t="n">
        <v>0.02</v>
      </c>
      <c r="H32" s="174"/>
    </row>
    <row r="33" customFormat="false" ht="15" hidden="false" customHeight="false" outlineLevel="0" collapsed="false">
      <c r="A33" s="134"/>
      <c r="B33" s="134"/>
      <c r="C33" s="134"/>
      <c r="D33" s="175" t="s">
        <v>744</v>
      </c>
      <c r="E33" s="176" t="s">
        <v>741</v>
      </c>
      <c r="F33" s="176"/>
      <c r="G33" s="177" t="n">
        <v>0.343</v>
      </c>
      <c r="H33" s="138"/>
    </row>
    <row r="34" customFormat="false" ht="15" hidden="false" customHeight="true" outlineLevel="0" collapsed="false">
      <c r="A34" s="134" t="s">
        <v>176</v>
      </c>
      <c r="B34" s="134" t="s">
        <v>111</v>
      </c>
      <c r="C34" s="134" t="s">
        <v>570</v>
      </c>
      <c r="D34" s="135" t="s">
        <v>571</v>
      </c>
      <c r="E34" s="135"/>
      <c r="F34" s="134" t="s">
        <v>189</v>
      </c>
      <c r="G34" s="137" t="n">
        <v>0.955</v>
      </c>
      <c r="H34" s="137" t="n">
        <v>0</v>
      </c>
    </row>
    <row r="35" customFormat="false" ht="15" hidden="false" customHeight="false" outlineLevel="0" collapsed="false">
      <c r="A35" s="174"/>
      <c r="B35" s="174"/>
      <c r="C35" s="174"/>
      <c r="D35" s="175" t="s">
        <v>738</v>
      </c>
      <c r="E35" s="176" t="s">
        <v>739</v>
      </c>
      <c r="F35" s="176"/>
      <c r="G35" s="177" t="n">
        <v>0.04</v>
      </c>
      <c r="H35" s="174"/>
    </row>
    <row r="36" customFormat="false" ht="15" hidden="false" customHeight="false" outlineLevel="0" collapsed="false">
      <c r="A36" s="134"/>
      <c r="B36" s="134"/>
      <c r="C36" s="134"/>
      <c r="D36" s="175" t="s">
        <v>740</v>
      </c>
      <c r="E36" s="176" t="s">
        <v>741</v>
      </c>
      <c r="F36" s="176"/>
      <c r="G36" s="177" t="n">
        <v>0.915</v>
      </c>
      <c r="H36" s="138"/>
    </row>
    <row r="37" customFormat="false" ht="15" hidden="false" customHeight="true" outlineLevel="0" collapsed="false">
      <c r="A37" s="134" t="s">
        <v>181</v>
      </c>
      <c r="B37" s="134" t="s">
        <v>111</v>
      </c>
      <c r="C37" s="134" t="s">
        <v>575</v>
      </c>
      <c r="D37" s="135" t="s">
        <v>576</v>
      </c>
      <c r="E37" s="135"/>
      <c r="F37" s="134" t="s">
        <v>154</v>
      </c>
      <c r="G37" s="137" t="n">
        <v>0.8</v>
      </c>
      <c r="H37" s="137" t="n">
        <v>0</v>
      </c>
    </row>
    <row r="38" customFormat="false" ht="15" hidden="false" customHeight="false" outlineLevel="0" collapsed="false">
      <c r="A38" s="174"/>
      <c r="B38" s="174"/>
      <c r="C38" s="174"/>
      <c r="D38" s="175" t="s">
        <v>747</v>
      </c>
      <c r="E38" s="176" t="s">
        <v>739</v>
      </c>
      <c r="F38" s="176"/>
      <c r="G38" s="177" t="n">
        <v>0.8</v>
      </c>
      <c r="H38" s="174"/>
    </row>
    <row r="39" customFormat="false" ht="15" hidden="false" customHeight="true" outlineLevel="0" collapsed="false">
      <c r="A39" s="134" t="s">
        <v>186</v>
      </c>
      <c r="B39" s="134" t="s">
        <v>111</v>
      </c>
      <c r="C39" s="134" t="s">
        <v>580</v>
      </c>
      <c r="D39" s="135" t="s">
        <v>581</v>
      </c>
      <c r="E39" s="135"/>
      <c r="F39" s="134" t="s">
        <v>154</v>
      </c>
      <c r="G39" s="137" t="n">
        <v>14.4</v>
      </c>
      <c r="H39" s="137" t="n">
        <v>0</v>
      </c>
    </row>
    <row r="40" customFormat="false" ht="15" hidden="false" customHeight="false" outlineLevel="0" collapsed="false">
      <c r="A40" s="174"/>
      <c r="B40" s="174"/>
      <c r="C40" s="174"/>
      <c r="D40" s="175" t="s">
        <v>748</v>
      </c>
      <c r="E40" s="176" t="s">
        <v>741</v>
      </c>
      <c r="F40" s="176"/>
      <c r="G40" s="177" t="n">
        <v>14.4</v>
      </c>
      <c r="H40" s="174"/>
    </row>
    <row r="41" customFormat="false" ht="15" hidden="false" customHeight="true" outlineLevel="0" collapsed="false">
      <c r="A41" s="139" t="s">
        <v>192</v>
      </c>
      <c r="B41" s="139" t="s">
        <v>111</v>
      </c>
      <c r="C41" s="139" t="s">
        <v>583</v>
      </c>
      <c r="D41" s="140" t="s">
        <v>584</v>
      </c>
      <c r="E41" s="140"/>
      <c r="F41" s="139" t="s">
        <v>202</v>
      </c>
      <c r="G41" s="142" t="n">
        <v>4.4</v>
      </c>
      <c r="H41" s="142" t="n">
        <v>0</v>
      </c>
    </row>
    <row r="42" customFormat="false" ht="15" hidden="false" customHeight="false" outlineLevel="0" collapsed="false">
      <c r="A42" s="174"/>
      <c r="B42" s="174"/>
      <c r="C42" s="174"/>
      <c r="D42" s="175" t="s">
        <v>749</v>
      </c>
      <c r="E42" s="176"/>
      <c r="F42" s="176"/>
      <c r="G42" s="178" t="n">
        <v>4</v>
      </c>
      <c r="H42" s="174"/>
    </row>
    <row r="43" customFormat="false" ht="15" hidden="false" customHeight="false" outlineLevel="0" collapsed="false">
      <c r="A43" s="139"/>
      <c r="B43" s="139"/>
      <c r="C43" s="139"/>
      <c r="D43" s="175" t="s">
        <v>750</v>
      </c>
      <c r="E43" s="176"/>
      <c r="F43" s="176"/>
      <c r="G43" s="178" t="n">
        <v>0.4</v>
      </c>
      <c r="H43" s="143"/>
    </row>
    <row r="44" customFormat="false" ht="15" hidden="false" customHeight="true" outlineLevel="0" collapsed="false">
      <c r="A44" s="139" t="s">
        <v>149</v>
      </c>
      <c r="B44" s="139" t="s">
        <v>111</v>
      </c>
      <c r="C44" s="139" t="s">
        <v>586</v>
      </c>
      <c r="D44" s="140" t="s">
        <v>587</v>
      </c>
      <c r="E44" s="140"/>
      <c r="F44" s="139" t="s">
        <v>202</v>
      </c>
      <c r="G44" s="142" t="n">
        <v>79.2</v>
      </c>
      <c r="H44" s="142" t="n">
        <v>0</v>
      </c>
    </row>
    <row r="45" customFormat="false" ht="15" hidden="false" customHeight="false" outlineLevel="0" collapsed="false">
      <c r="A45" s="174"/>
      <c r="B45" s="174"/>
      <c r="C45" s="174"/>
      <c r="D45" s="175" t="s">
        <v>751</v>
      </c>
      <c r="E45" s="176"/>
      <c r="F45" s="176"/>
      <c r="G45" s="178" t="n">
        <v>72</v>
      </c>
      <c r="H45" s="174"/>
    </row>
    <row r="46" customFormat="false" ht="15" hidden="false" customHeight="false" outlineLevel="0" collapsed="false">
      <c r="A46" s="139"/>
      <c r="B46" s="139"/>
      <c r="C46" s="139"/>
      <c r="D46" s="175" t="s">
        <v>752</v>
      </c>
      <c r="E46" s="176"/>
      <c r="F46" s="176"/>
      <c r="G46" s="178" t="n">
        <v>7.2</v>
      </c>
      <c r="H46" s="143"/>
    </row>
    <row r="47" customFormat="false" ht="15" hidden="false" customHeight="true" outlineLevel="0" collapsed="false">
      <c r="A47" s="134" t="s">
        <v>199</v>
      </c>
      <c r="B47" s="134" t="s">
        <v>111</v>
      </c>
      <c r="C47" s="134" t="s">
        <v>334</v>
      </c>
      <c r="D47" s="135" t="s">
        <v>589</v>
      </c>
      <c r="E47" s="135"/>
      <c r="F47" s="134" t="s">
        <v>179</v>
      </c>
      <c r="G47" s="137" t="n">
        <v>0.002</v>
      </c>
      <c r="H47" s="137" t="n">
        <v>0</v>
      </c>
    </row>
    <row r="48" customFormat="false" ht="15" hidden="false" customHeight="false" outlineLevel="0" collapsed="false">
      <c r="A48" s="174"/>
      <c r="B48" s="174"/>
      <c r="C48" s="174"/>
      <c r="D48" s="175" t="s">
        <v>753</v>
      </c>
      <c r="E48" s="176"/>
      <c r="F48" s="176"/>
      <c r="G48" s="177" t="n">
        <v>0.002</v>
      </c>
      <c r="H48" s="174"/>
    </row>
    <row r="49" customFormat="false" ht="24.05" hidden="false" customHeight="true" outlineLevel="0" collapsed="false">
      <c r="A49" s="134" t="s">
        <v>206</v>
      </c>
      <c r="B49" s="134" t="s">
        <v>111</v>
      </c>
      <c r="C49" s="134" t="s">
        <v>592</v>
      </c>
      <c r="D49" s="135" t="s">
        <v>593</v>
      </c>
      <c r="E49" s="135"/>
      <c r="F49" s="134" t="s">
        <v>594</v>
      </c>
      <c r="G49" s="137" t="n">
        <v>6</v>
      </c>
      <c r="H49" s="137" t="n">
        <v>0</v>
      </c>
    </row>
    <row r="50" customFormat="false" ht="15" hidden="false" customHeight="false" outlineLevel="0" collapsed="false">
      <c r="A50" s="174"/>
      <c r="B50" s="174"/>
      <c r="C50" s="174"/>
      <c r="D50" s="175" t="s">
        <v>173</v>
      </c>
      <c r="E50" s="176"/>
      <c r="F50" s="176"/>
      <c r="G50" s="177" t="n">
        <v>6</v>
      </c>
      <c r="H50" s="174"/>
    </row>
    <row r="51" customFormat="false" ht="24.05" hidden="false" customHeight="true" outlineLevel="0" collapsed="false">
      <c r="A51" s="134" t="s">
        <v>210</v>
      </c>
      <c r="B51" s="134" t="s">
        <v>111</v>
      </c>
      <c r="C51" s="134" t="s">
        <v>598</v>
      </c>
      <c r="D51" s="135" t="s">
        <v>599</v>
      </c>
      <c r="E51" s="135"/>
      <c r="F51" s="134" t="s">
        <v>594</v>
      </c>
      <c r="G51" s="137" t="n">
        <v>1</v>
      </c>
      <c r="H51" s="137" t="n">
        <v>0</v>
      </c>
    </row>
    <row r="52" customFormat="false" ht="15" hidden="false" customHeight="false" outlineLevel="0" collapsed="false">
      <c r="A52" s="174"/>
      <c r="B52" s="174"/>
      <c r="C52" s="174"/>
      <c r="D52" s="175" t="s">
        <v>151</v>
      </c>
      <c r="E52" s="176"/>
      <c r="F52" s="176"/>
      <c r="G52" s="177" t="n">
        <v>1</v>
      </c>
      <c r="H52" s="174"/>
    </row>
    <row r="53" customFormat="false" ht="15" hidden="false" customHeight="true" outlineLevel="0" collapsed="false">
      <c r="A53" s="134" t="s">
        <v>213</v>
      </c>
      <c r="B53" s="134" t="s">
        <v>111</v>
      </c>
      <c r="C53" s="134" t="s">
        <v>334</v>
      </c>
      <c r="D53" s="135" t="s">
        <v>589</v>
      </c>
      <c r="E53" s="135"/>
      <c r="F53" s="134" t="s">
        <v>179</v>
      </c>
      <c r="G53" s="137" t="n">
        <v>1.53</v>
      </c>
      <c r="H53" s="137" t="n">
        <v>0</v>
      </c>
    </row>
    <row r="54" customFormat="false" ht="15" hidden="false" customHeight="false" outlineLevel="0" collapsed="false">
      <c r="A54" s="174"/>
      <c r="B54" s="174"/>
      <c r="C54" s="174"/>
      <c r="D54" s="175" t="s">
        <v>754</v>
      </c>
      <c r="E54" s="176"/>
      <c r="F54" s="176"/>
      <c r="G54" s="177" t="n">
        <v>1.53</v>
      </c>
      <c r="H54" s="174"/>
    </row>
    <row r="55" customFormat="false" ht="15" hidden="false" customHeight="true" outlineLevel="0" collapsed="false">
      <c r="A55" s="134" t="s">
        <v>216</v>
      </c>
      <c r="B55" s="134" t="s">
        <v>111</v>
      </c>
      <c r="C55" s="134" t="s">
        <v>182</v>
      </c>
      <c r="D55" s="135" t="s">
        <v>183</v>
      </c>
      <c r="E55" s="135"/>
      <c r="F55" s="134" t="s">
        <v>179</v>
      </c>
      <c r="G55" s="137" t="n">
        <v>3.224</v>
      </c>
      <c r="H55" s="137" t="n">
        <v>0</v>
      </c>
    </row>
    <row r="56" customFormat="false" ht="15" hidden="false" customHeight="false" outlineLevel="0" collapsed="false">
      <c r="A56" s="174"/>
      <c r="B56" s="174"/>
      <c r="C56" s="174"/>
      <c r="D56" s="175" t="s">
        <v>755</v>
      </c>
      <c r="E56" s="176"/>
      <c r="F56" s="176"/>
      <c r="G56" s="177" t="n">
        <v>3.224</v>
      </c>
      <c r="H56" s="174"/>
    </row>
    <row r="58" customFormat="false" ht="15" hidden="false" customHeight="false" outlineLevel="0" collapsed="false">
      <c r="A58" s="1"/>
    </row>
    <row r="59" customFormat="false" ht="15" hidden="true" customHeight="false" outlineLevel="0" collapsed="false">
      <c r="A59" s="9"/>
      <c r="B59" s="9"/>
      <c r="C59" s="9"/>
      <c r="D59" s="9"/>
      <c r="E59" s="9"/>
      <c r="F59" s="9"/>
      <c r="G59" s="9"/>
    </row>
  </sheetData>
  <mergeCells count="65">
    <mergeCell ref="A1:H1"/>
    <mergeCell ref="A2:B3"/>
    <mergeCell ref="C2:D3"/>
    <mergeCell ref="E2:E3"/>
    <mergeCell ref="F2:H3"/>
    <mergeCell ref="A4:B5"/>
    <mergeCell ref="C4:D5"/>
    <mergeCell ref="E4:E5"/>
    <mergeCell ref="F4:H5"/>
    <mergeCell ref="A6:B7"/>
    <mergeCell ref="C6:D7"/>
    <mergeCell ref="E6:E7"/>
    <mergeCell ref="F6:H7"/>
    <mergeCell ref="A8:B9"/>
    <mergeCell ref="C8:D9"/>
    <mergeCell ref="E8:E9"/>
    <mergeCell ref="F8:H9"/>
    <mergeCell ref="D10:E10"/>
    <mergeCell ref="D11:E11"/>
    <mergeCell ref="D12:E12"/>
    <mergeCell ref="D13:E13"/>
    <mergeCell ref="D14:E14"/>
    <mergeCell ref="D15:E15"/>
    <mergeCell ref="D16:E16"/>
    <mergeCell ref="D17:E17"/>
    <mergeCell ref="D18:E18"/>
    <mergeCell ref="E19:F19"/>
    <mergeCell ref="E20:F20"/>
    <mergeCell ref="E21:F21"/>
    <mergeCell ref="E22:F22"/>
    <mergeCell ref="D23:E23"/>
    <mergeCell ref="E24:F24"/>
    <mergeCell ref="D25:E25"/>
    <mergeCell ref="E26:F26"/>
    <mergeCell ref="D27:E27"/>
    <mergeCell ref="E28:F28"/>
    <mergeCell ref="D29:E29"/>
    <mergeCell ref="E30:F30"/>
    <mergeCell ref="D31:E31"/>
    <mergeCell ref="E32:F32"/>
    <mergeCell ref="E33:F33"/>
    <mergeCell ref="D34:E34"/>
    <mergeCell ref="E35:F35"/>
    <mergeCell ref="E36:F36"/>
    <mergeCell ref="D37:E37"/>
    <mergeCell ref="E38:F38"/>
    <mergeCell ref="D39:E39"/>
    <mergeCell ref="E40:F40"/>
    <mergeCell ref="D41:E41"/>
    <mergeCell ref="E42:F42"/>
    <mergeCell ref="E43:F43"/>
    <mergeCell ref="D44:E44"/>
    <mergeCell ref="E45:F45"/>
    <mergeCell ref="E46:F46"/>
    <mergeCell ref="D47:E47"/>
    <mergeCell ref="E48:F48"/>
    <mergeCell ref="D49:E49"/>
    <mergeCell ref="E50:F50"/>
    <mergeCell ref="D51:E51"/>
    <mergeCell ref="E52:F52"/>
    <mergeCell ref="D53:E53"/>
    <mergeCell ref="E54:F54"/>
    <mergeCell ref="D55:E55"/>
    <mergeCell ref="E56:F56"/>
    <mergeCell ref="A59:G59"/>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932CC"/>
    <pageSetUpPr fitToPage="true"/>
  </sheetPr>
  <dimension ref="A1:I35"/>
  <sheetViews>
    <sheetView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A1" activeCellId="0" sqref="A1"/>
    </sheetView>
  </sheetViews>
  <sheetFormatPr defaultColWidth="12.1484375" defaultRowHeight="15" customHeight="true" zeroHeight="false" outlineLevelRow="0" outlineLevelCol="0"/>
  <cols>
    <col collapsed="false" customWidth="true" hidden="false" outlineLevel="0" max="1" min="1" style="22" width="18"/>
    <col collapsed="false" customWidth="true" hidden="false" outlineLevel="0" max="2" min="2" style="22" width="12.86"/>
    <col collapsed="false" customWidth="true" hidden="false" outlineLevel="0" max="3" min="3" style="22" width="27.15"/>
    <col collapsed="false" customWidth="true" hidden="false" outlineLevel="0" max="4" min="4" style="22" width="18.54"/>
    <col collapsed="false" customWidth="true" hidden="false" outlineLevel="0" max="5" min="5" style="22" width="14"/>
    <col collapsed="false" customWidth="true" hidden="false" outlineLevel="0" max="6" min="6" style="22" width="27.15"/>
    <col collapsed="false" customWidth="true" hidden="false" outlineLevel="0" max="7" min="7" style="22" width="18.11"/>
    <col collapsed="false" customWidth="true" hidden="false" outlineLevel="0" max="8" min="8" style="22" width="12.86"/>
    <col collapsed="false" customWidth="true" hidden="false" outlineLevel="0" max="9" min="9" style="22" width="27.15"/>
  </cols>
  <sheetData>
    <row r="1" customFormat="false" ht="39.7" hidden="false" customHeight="true" outlineLevel="0" collapsed="false">
      <c r="A1" s="24" t="s">
        <v>793</v>
      </c>
      <c r="B1" s="24"/>
      <c r="C1" s="24"/>
      <c r="D1" s="24"/>
      <c r="E1" s="24"/>
      <c r="F1" s="24"/>
      <c r="G1" s="24"/>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10</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2" customFormat="false" ht="22.05" hidden="false" customHeight="false" outlineLevel="0" collapsed="false">
      <c r="A12" s="25" t="s">
        <v>32</v>
      </c>
      <c r="B12" s="25"/>
      <c r="C12" s="25"/>
      <c r="D12" s="25"/>
      <c r="E12" s="25"/>
      <c r="F12" s="25"/>
      <c r="G12" s="25"/>
      <c r="H12" s="25"/>
      <c r="I12" s="25"/>
    </row>
    <row r="13" customFormat="false" ht="26.25" hidden="false" customHeight="true" outlineLevel="0" collapsed="false">
      <c r="A13" s="26" t="s">
        <v>33</v>
      </c>
      <c r="B13" s="27" t="s">
        <v>34</v>
      </c>
      <c r="C13" s="27"/>
      <c r="D13" s="28" t="s">
        <v>35</v>
      </c>
      <c r="E13" s="27" t="s">
        <v>36</v>
      </c>
      <c r="F13" s="27"/>
      <c r="G13" s="28" t="s">
        <v>775</v>
      </c>
      <c r="H13" s="27" t="s">
        <v>82</v>
      </c>
      <c r="I13" s="27"/>
    </row>
    <row r="14" customFormat="false" ht="15" hidden="false" customHeight="false" outlineLevel="0" collapsed="false">
      <c r="A14" s="29" t="s">
        <v>37</v>
      </c>
      <c r="B14" s="30" t="s">
        <v>38</v>
      </c>
      <c r="C14" s="31" t="n">
        <f aca="false">SUM('Stavební rozpočet (VORN)'!AB12:AB374)</f>
        <v>0</v>
      </c>
      <c r="D14" s="30"/>
      <c r="E14" s="30"/>
      <c r="F14" s="31" t="n">
        <f aca="false">'VORN objektu (VORN)'!I15</f>
        <v>0</v>
      </c>
      <c r="G14" s="30" t="s">
        <v>83</v>
      </c>
      <c r="H14" s="30"/>
      <c r="I14" s="31" t="n">
        <f aca="false">'VORN objektu (VORN)'!I21</f>
        <v>0</v>
      </c>
    </row>
    <row r="15" customFormat="false" ht="15" hidden="false" customHeight="false" outlineLevel="0" collapsed="false">
      <c r="A15" s="32"/>
      <c r="B15" s="30" t="s">
        <v>40</v>
      </c>
      <c r="C15" s="31" t="n">
        <f aca="false">SUM('Stavební rozpočet (VORN)'!AC12:AC374)</f>
        <v>0</v>
      </c>
      <c r="D15" s="30"/>
      <c r="E15" s="30"/>
      <c r="F15" s="31" t="n">
        <f aca="false">'VORN objektu (VORN)'!I16</f>
        <v>0</v>
      </c>
      <c r="G15" s="30" t="s">
        <v>84</v>
      </c>
      <c r="H15" s="30"/>
      <c r="I15" s="31" t="n">
        <f aca="false">'VORN objektu (VORN)'!I22</f>
        <v>0</v>
      </c>
    </row>
    <row r="16" customFormat="false" ht="15" hidden="false" customHeight="false" outlineLevel="0" collapsed="false">
      <c r="A16" s="29" t="s">
        <v>42</v>
      </c>
      <c r="B16" s="30" t="s">
        <v>38</v>
      </c>
      <c r="C16" s="31" t="n">
        <f aca="false">SUM('Stavební rozpočet (VORN)'!AD12:AD374)</f>
        <v>0</v>
      </c>
      <c r="D16" s="30"/>
      <c r="E16" s="30"/>
      <c r="F16" s="31" t="n">
        <f aca="false">'VORN objektu (VORN)'!I17</f>
        <v>0</v>
      </c>
      <c r="G16" s="30" t="s">
        <v>85</v>
      </c>
      <c r="H16" s="30"/>
      <c r="I16" s="31" t="n">
        <f aca="false">'VORN objektu (VORN)'!I23</f>
        <v>0</v>
      </c>
    </row>
    <row r="17" customFormat="false" ht="15" hidden="false" customHeight="false" outlineLevel="0" collapsed="false">
      <c r="A17" s="32"/>
      <c r="B17" s="30" t="s">
        <v>40</v>
      </c>
      <c r="C17" s="31" t="n">
        <f aca="false">SUM('Stavební rozpočet (VORN)'!AE12:AE374)</f>
        <v>0</v>
      </c>
      <c r="D17" s="30"/>
      <c r="E17" s="30"/>
      <c r="F17" s="33"/>
      <c r="G17" s="30" t="s">
        <v>86</v>
      </c>
      <c r="H17" s="30"/>
      <c r="I17" s="31" t="n">
        <f aca="false">'VORN objektu (VORN)'!I24</f>
        <v>0</v>
      </c>
    </row>
    <row r="18" customFormat="false" ht="15" hidden="false" customHeight="false" outlineLevel="0" collapsed="false">
      <c r="A18" s="29" t="s">
        <v>44</v>
      </c>
      <c r="B18" s="30" t="s">
        <v>38</v>
      </c>
      <c r="C18" s="31" t="n">
        <f aca="false">SUM('Stavební rozpočet (VORN)'!AF12:AF374)</f>
        <v>0</v>
      </c>
      <c r="D18" s="30"/>
      <c r="E18" s="30"/>
      <c r="F18" s="33"/>
      <c r="G18" s="30" t="s">
        <v>87</v>
      </c>
      <c r="H18" s="30"/>
      <c r="I18" s="31" t="n">
        <f aca="false">'VORN objektu (VORN)'!I25</f>
        <v>0</v>
      </c>
    </row>
    <row r="19" customFormat="false" ht="15" hidden="false" customHeight="false" outlineLevel="0" collapsed="false">
      <c r="A19" s="32"/>
      <c r="B19" s="30" t="s">
        <v>40</v>
      </c>
      <c r="C19" s="31" t="n">
        <f aca="false">SUM('Stavební rozpočet (VORN)'!AG12:AG374)</f>
        <v>0</v>
      </c>
      <c r="D19" s="30"/>
      <c r="E19" s="30"/>
      <c r="F19" s="33"/>
      <c r="G19" s="30" t="s">
        <v>88</v>
      </c>
      <c r="H19" s="30"/>
      <c r="I19" s="31" t="n">
        <f aca="false">'VORN objektu (VORN)'!I26</f>
        <v>0</v>
      </c>
    </row>
    <row r="20" customFormat="false" ht="15" hidden="false" customHeight="false" outlineLevel="0" collapsed="false">
      <c r="A20" s="32" t="s">
        <v>45</v>
      </c>
      <c r="B20" s="32"/>
      <c r="C20" s="31" t="n">
        <f aca="false">SUM('Stavební rozpočet (VORN)'!AH12:AH374)</f>
        <v>0</v>
      </c>
      <c r="D20" s="30"/>
      <c r="E20" s="30"/>
      <c r="F20" s="33"/>
      <c r="G20" s="30"/>
      <c r="H20" s="30"/>
      <c r="I20" s="33"/>
    </row>
    <row r="21" customFormat="false" ht="15" hidden="false" customHeight="false" outlineLevel="0" collapsed="false">
      <c r="A21" s="29" t="s">
        <v>46</v>
      </c>
      <c r="B21" s="29"/>
      <c r="C21" s="34" t="n">
        <f aca="false">SUM('Stavební rozpočet (VORN)'!Z12:Z374)</f>
        <v>0</v>
      </c>
      <c r="D21" s="35"/>
      <c r="E21" s="35"/>
      <c r="F21" s="36"/>
      <c r="G21" s="35"/>
      <c r="H21" s="35"/>
      <c r="I21" s="36"/>
    </row>
    <row r="22" customFormat="false" ht="16.5" hidden="false" customHeight="true" outlineLevel="0" collapsed="false">
      <c r="A22" s="37" t="s">
        <v>47</v>
      </c>
      <c r="B22" s="37"/>
      <c r="C22" s="38" t="n">
        <f aca="false">ROUND(SUM(C14:C21),1)</f>
        <v>0</v>
      </c>
      <c r="D22" s="39" t="s">
        <v>48</v>
      </c>
      <c r="E22" s="39"/>
      <c r="F22" s="38" t="n">
        <f aca="false">SUM(F14:F21)</f>
        <v>0</v>
      </c>
      <c r="G22" s="39" t="s">
        <v>776</v>
      </c>
      <c r="H22" s="39"/>
      <c r="I22" s="38" t="n">
        <f aca="false">SUM(I14:I21)</f>
        <v>0</v>
      </c>
    </row>
    <row r="23" customFormat="false" ht="15" hidden="false" customHeight="false" outlineLevel="0" collapsed="false">
      <c r="G23" s="32" t="s">
        <v>777</v>
      </c>
      <c r="H23" s="32"/>
      <c r="I23" s="31" t="n">
        <f aca="false">'VORN objektu (VORN)'!I36</f>
        <v>0</v>
      </c>
    </row>
    <row r="25" customFormat="false" ht="15" hidden="false" customHeight="false" outlineLevel="0" collapsed="false">
      <c r="A25" s="41" t="s">
        <v>50</v>
      </c>
      <c r="B25" s="41"/>
      <c r="C25" s="42" t="n">
        <f aca="false">ROUND(SUM('Stavební rozpočet (VORN)'!AJ12:AJ374),1)</f>
        <v>0</v>
      </c>
      <c r="D25" s="43"/>
      <c r="E25" s="43"/>
      <c r="F25" s="43"/>
      <c r="G25" s="43"/>
      <c r="H25" s="43"/>
      <c r="I25" s="43"/>
    </row>
    <row r="26" customFormat="false" ht="15" hidden="false" customHeight="false" outlineLevel="0" collapsed="false">
      <c r="A26" s="44" t="s">
        <v>51</v>
      </c>
      <c r="B26" s="44"/>
      <c r="C26" s="45" t="n">
        <f aca="false">ROUND(SUM('Stavební rozpočet (VORN)'!AK12:AK374),1)</f>
        <v>0</v>
      </c>
      <c r="D26" s="46" t="s">
        <v>52</v>
      </c>
      <c r="E26" s="46"/>
      <c r="F26" s="42" t="n">
        <f aca="false">ROUND(C26*(12/100),2)</f>
        <v>0</v>
      </c>
      <c r="G26" s="46" t="s">
        <v>53</v>
      </c>
      <c r="H26" s="46"/>
      <c r="I26" s="42" t="n">
        <f aca="false">ROUND(SUM(C25:C27),1)</f>
        <v>0</v>
      </c>
    </row>
    <row r="27" customFormat="false" ht="15" hidden="false" customHeight="false" outlineLevel="0" collapsed="false">
      <c r="A27" s="44" t="s">
        <v>54</v>
      </c>
      <c r="B27" s="44"/>
      <c r="C27" s="45" t="n">
        <f aca="false">ROUND(SUM('Stavební rozpočet (VORN)'!AL12:AL374)+(F22+I22+F23+I23+I24),1)</f>
        <v>0</v>
      </c>
      <c r="D27" s="47" t="s">
        <v>55</v>
      </c>
      <c r="E27" s="47"/>
      <c r="F27" s="45" t="n">
        <f aca="false">ROUND(C27*(21/100),2)</f>
        <v>0</v>
      </c>
      <c r="G27" s="47" t="s">
        <v>56</v>
      </c>
      <c r="H27" s="47"/>
      <c r="I27" s="45" t="n">
        <f aca="false">ROUND(SUM(F26:F27)+I26,1)</f>
        <v>0</v>
      </c>
    </row>
    <row r="29" customFormat="false" ht="15" hidden="false" customHeight="false" outlineLevel="0" collapsed="false">
      <c r="A29" s="48" t="s">
        <v>57</v>
      </c>
      <c r="B29" s="48"/>
      <c r="C29" s="48"/>
      <c r="D29" s="49" t="s">
        <v>58</v>
      </c>
      <c r="E29" s="49"/>
      <c r="F29" s="49"/>
      <c r="G29" s="49" t="s">
        <v>59</v>
      </c>
      <c r="H29" s="49"/>
      <c r="I29" s="49"/>
    </row>
    <row r="30" customFormat="false" ht="15" hidden="false" customHeight="false" outlineLevel="0" collapsed="false">
      <c r="A30" s="50"/>
      <c r="B30" s="50"/>
      <c r="C30" s="50"/>
      <c r="D30" s="51"/>
      <c r="E30" s="51"/>
      <c r="F30" s="51"/>
      <c r="G30" s="51"/>
      <c r="H30" s="51"/>
      <c r="I30" s="51"/>
    </row>
    <row r="31" customFormat="false" ht="15" hidden="false" customHeight="false" outlineLevel="0" collapsed="false">
      <c r="A31" s="50"/>
      <c r="B31" s="50"/>
      <c r="C31" s="50"/>
      <c r="D31" s="51"/>
      <c r="E31" s="51"/>
      <c r="F31" s="51"/>
      <c r="G31" s="51"/>
      <c r="H31" s="51"/>
      <c r="I31" s="51"/>
    </row>
    <row r="32" customFormat="false" ht="15" hidden="false" customHeight="false" outlineLevel="0" collapsed="false">
      <c r="A32" s="50"/>
      <c r="B32" s="50"/>
      <c r="C32" s="50"/>
      <c r="D32" s="51"/>
      <c r="E32" s="51"/>
      <c r="F32" s="51"/>
      <c r="G32" s="51"/>
      <c r="H32" s="51"/>
      <c r="I32" s="51"/>
    </row>
    <row r="33" customFormat="false" ht="15" hidden="false" customHeight="false" outlineLevel="0" collapsed="false">
      <c r="A33" s="52" t="s">
        <v>60</v>
      </c>
      <c r="B33" s="52"/>
      <c r="C33" s="52"/>
      <c r="D33" s="53" t="s">
        <v>60</v>
      </c>
      <c r="E33" s="53"/>
      <c r="F33" s="53"/>
      <c r="G33" s="53" t="s">
        <v>60</v>
      </c>
      <c r="H33" s="53"/>
      <c r="I33" s="53"/>
    </row>
    <row r="34" customFormat="false" ht="15" hidden="false" customHeight="false" outlineLevel="0" collapsed="false">
      <c r="A34" s="1"/>
    </row>
    <row r="35" customFormat="false" ht="12.75" hidden="true" customHeight="true" outlineLevel="0" collapsed="false">
      <c r="A35" s="9"/>
      <c r="B35" s="9"/>
      <c r="C35" s="9"/>
      <c r="D35" s="9"/>
      <c r="E35" s="9"/>
      <c r="F35" s="9"/>
      <c r="G35" s="9"/>
      <c r="H35" s="9"/>
      <c r="I35" s="9"/>
    </row>
  </sheetData>
  <mergeCells count="80">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2:I12"/>
    <mergeCell ref="B13:C13"/>
    <mergeCell ref="E13:F13"/>
    <mergeCell ref="H13:I13"/>
    <mergeCell ref="D14:E14"/>
    <mergeCell ref="G14:H14"/>
    <mergeCell ref="D15:E15"/>
    <mergeCell ref="G15:H15"/>
    <mergeCell ref="D16:E16"/>
    <mergeCell ref="G16:H16"/>
    <mergeCell ref="D17:E17"/>
    <mergeCell ref="G17:H17"/>
    <mergeCell ref="D18:E18"/>
    <mergeCell ref="G18:H18"/>
    <mergeCell ref="D19:E19"/>
    <mergeCell ref="G19:H19"/>
    <mergeCell ref="A20:B20"/>
    <mergeCell ref="D20:E20"/>
    <mergeCell ref="G20:H20"/>
    <mergeCell ref="A21:B21"/>
    <mergeCell ref="D21:E21"/>
    <mergeCell ref="G21:H21"/>
    <mergeCell ref="A22:B22"/>
    <mergeCell ref="D22:E22"/>
    <mergeCell ref="G22:H22"/>
    <mergeCell ref="G23:H23"/>
    <mergeCell ref="A25:B25"/>
    <mergeCell ref="A26:B26"/>
    <mergeCell ref="D26:E26"/>
    <mergeCell ref="G26:H26"/>
    <mergeCell ref="A27:B27"/>
    <mergeCell ref="D27:E27"/>
    <mergeCell ref="G27:H27"/>
    <mergeCell ref="A29:C29"/>
    <mergeCell ref="D29:F29"/>
    <mergeCell ref="G29:I29"/>
    <mergeCell ref="A30:C30"/>
    <mergeCell ref="D30:F30"/>
    <mergeCell ref="G30:I30"/>
    <mergeCell ref="A31:C31"/>
    <mergeCell ref="D31:F31"/>
    <mergeCell ref="G31:I31"/>
    <mergeCell ref="A32:C32"/>
    <mergeCell ref="D32:F32"/>
    <mergeCell ref="G32:I32"/>
    <mergeCell ref="A33:C33"/>
    <mergeCell ref="D33:F33"/>
    <mergeCell ref="G33:I33"/>
    <mergeCell ref="A35:I35"/>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1" pageOrder="downThenOver" orientation="landscape" blackAndWhite="false" draft="false" cellComments="none" horizontalDpi="300" verticalDpi="300" copies="1"/>
  <headerFooter differentFirst="false" differentOddEven="false">
    <oddHeader/>
    <oddFooter/>
  </headerFooter>
  <drawing r:id="rId1"/>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I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6" activeCellId="0" sqref="A36"/>
    </sheetView>
  </sheetViews>
  <sheetFormatPr defaultColWidth="12.1484375" defaultRowHeight="15" customHeight="true" zeroHeight="false" outlineLevelRow="0" outlineLevelCol="0"/>
  <cols>
    <col collapsed="false" customWidth="true" hidden="false" outlineLevel="0" max="1" min="1" style="22" width="9.14"/>
    <col collapsed="false" customWidth="true" hidden="false" outlineLevel="0" max="2" min="2" style="22" width="12.86"/>
    <col collapsed="false" customWidth="true" hidden="false" outlineLevel="0" max="3" min="3" style="22" width="22.86"/>
    <col collapsed="false" customWidth="true" hidden="false" outlineLevel="0" max="4" min="4" style="22" width="10"/>
    <col collapsed="false" customWidth="true" hidden="false" outlineLevel="0" max="5" min="5" style="22" width="14"/>
    <col collapsed="false" customWidth="true" hidden="false" outlineLevel="0" max="6" min="6" style="22" width="22.86"/>
    <col collapsed="false" customWidth="true" hidden="false" outlineLevel="0" max="7" min="7" style="22" width="9.14"/>
    <col collapsed="false" customWidth="true" hidden="false" outlineLevel="0" max="8" min="8" style="22" width="17.15"/>
    <col collapsed="false" customWidth="true" hidden="false" outlineLevel="0" max="9" min="9" style="22" width="22.86"/>
  </cols>
  <sheetData>
    <row r="1" customFormat="false" ht="54.75" hidden="false" customHeight="true" outlineLevel="0" collapsed="false">
      <c r="A1" s="24" t="s">
        <v>794</v>
      </c>
      <c r="B1" s="24"/>
      <c r="C1" s="24"/>
      <c r="D1" s="24"/>
      <c r="E1" s="24"/>
      <c r="F1" s="24"/>
      <c r="G1" s="24"/>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10</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3" customFormat="false" ht="15" hidden="false" customHeight="false" outlineLevel="0" collapsed="false">
      <c r="A13" s="58" t="s">
        <v>76</v>
      </c>
      <c r="B13" s="58"/>
      <c r="C13" s="58"/>
      <c r="D13" s="58"/>
      <c r="E13" s="58"/>
    </row>
    <row r="14" customFormat="false" ht="15" hidden="false" customHeight="false" outlineLevel="0" collapsed="false">
      <c r="A14" s="59" t="s">
        <v>77</v>
      </c>
      <c r="B14" s="59"/>
      <c r="C14" s="59"/>
      <c r="D14" s="59"/>
      <c r="E14" s="59"/>
      <c r="F14" s="60" t="s">
        <v>78</v>
      </c>
      <c r="G14" s="60" t="s">
        <v>79</v>
      </c>
      <c r="H14" s="60" t="s">
        <v>80</v>
      </c>
      <c r="I14" s="60" t="s">
        <v>78</v>
      </c>
    </row>
    <row r="15" customFormat="false" ht="15" hidden="false" customHeight="false" outlineLevel="0" collapsed="false">
      <c r="A15" s="61"/>
      <c r="B15" s="61"/>
      <c r="C15" s="61"/>
      <c r="D15" s="61"/>
      <c r="E15" s="61"/>
      <c r="F15" s="62" t="n">
        <v>0</v>
      </c>
      <c r="G15" s="63"/>
      <c r="H15" s="63"/>
      <c r="I15" s="62" t="n">
        <f aca="false">F15</f>
        <v>0</v>
      </c>
    </row>
    <row r="16" customFormat="false" ht="15" hidden="false" customHeight="false" outlineLevel="0" collapsed="false">
      <c r="A16" s="61"/>
      <c r="B16" s="61"/>
      <c r="C16" s="61"/>
      <c r="D16" s="61"/>
      <c r="E16" s="61"/>
      <c r="F16" s="62" t="n">
        <v>0</v>
      </c>
      <c r="G16" s="63"/>
      <c r="H16" s="63"/>
      <c r="I16" s="62" t="n">
        <f aca="false">F16</f>
        <v>0</v>
      </c>
    </row>
    <row r="17" customFormat="false" ht="15" hidden="false" customHeight="false" outlineLevel="0" collapsed="false">
      <c r="A17" s="64"/>
      <c r="B17" s="64"/>
      <c r="C17" s="64"/>
      <c r="D17" s="64"/>
      <c r="E17" s="64"/>
      <c r="F17" s="65" t="n">
        <v>0</v>
      </c>
      <c r="G17" s="10"/>
      <c r="H17" s="10"/>
      <c r="I17" s="65" t="n">
        <f aca="false">F17</f>
        <v>0</v>
      </c>
    </row>
    <row r="18" customFormat="false" ht="15" hidden="false" customHeight="false" outlineLevel="0" collapsed="false">
      <c r="A18" s="66" t="s">
        <v>81</v>
      </c>
      <c r="B18" s="66"/>
      <c r="C18" s="66"/>
      <c r="D18" s="66"/>
      <c r="E18" s="66"/>
      <c r="F18" s="67"/>
      <c r="G18" s="68"/>
      <c r="H18" s="68"/>
      <c r="I18" s="69" t="n">
        <f aca="false">SUM(I15:I17)</f>
        <v>0</v>
      </c>
    </row>
    <row r="20" customFormat="false" ht="15" hidden="false" customHeight="false" outlineLevel="0" collapsed="false">
      <c r="A20" s="59" t="s">
        <v>82</v>
      </c>
      <c r="B20" s="59"/>
      <c r="C20" s="59"/>
      <c r="D20" s="59"/>
      <c r="E20" s="59"/>
      <c r="F20" s="60" t="s">
        <v>78</v>
      </c>
      <c r="G20" s="60" t="s">
        <v>79</v>
      </c>
      <c r="H20" s="60" t="s">
        <v>80</v>
      </c>
      <c r="I20" s="60" t="s">
        <v>78</v>
      </c>
    </row>
    <row r="21" customFormat="false" ht="15" hidden="false" customHeight="false" outlineLevel="0" collapsed="false">
      <c r="A21" s="61" t="s">
        <v>83</v>
      </c>
      <c r="B21" s="61"/>
      <c r="C21" s="61"/>
      <c r="D21" s="61"/>
      <c r="E21" s="61"/>
      <c r="F21" s="62" t="n">
        <v>0</v>
      </c>
      <c r="G21" s="63"/>
      <c r="H21" s="63"/>
      <c r="I21" s="62" t="n">
        <f aca="false">F21</f>
        <v>0</v>
      </c>
    </row>
    <row r="22" customFormat="false" ht="15" hidden="false" customHeight="false" outlineLevel="0" collapsed="false">
      <c r="A22" s="61" t="s">
        <v>84</v>
      </c>
      <c r="B22" s="61"/>
      <c r="C22" s="61"/>
      <c r="D22" s="61"/>
      <c r="E22" s="61"/>
      <c r="F22" s="62" t="n">
        <v>0</v>
      </c>
      <c r="G22" s="63"/>
      <c r="H22" s="63"/>
      <c r="I22" s="62" t="n">
        <f aca="false">F22</f>
        <v>0</v>
      </c>
    </row>
    <row r="23" customFormat="false" ht="15" hidden="false" customHeight="false" outlineLevel="0" collapsed="false">
      <c r="A23" s="61" t="s">
        <v>85</v>
      </c>
      <c r="B23" s="61"/>
      <c r="C23" s="61"/>
      <c r="D23" s="61"/>
      <c r="E23" s="61"/>
      <c r="F23" s="62" t="n">
        <v>0</v>
      </c>
      <c r="G23" s="63"/>
      <c r="H23" s="63"/>
      <c r="I23" s="62" t="n">
        <f aca="false">F23</f>
        <v>0</v>
      </c>
    </row>
    <row r="24" customFormat="false" ht="15" hidden="false" customHeight="false" outlineLevel="0" collapsed="false">
      <c r="A24" s="61" t="s">
        <v>86</v>
      </c>
      <c r="B24" s="61"/>
      <c r="C24" s="61"/>
      <c r="D24" s="61"/>
      <c r="E24" s="61"/>
      <c r="F24" s="62" t="n">
        <v>0</v>
      </c>
      <c r="G24" s="63"/>
      <c r="H24" s="63"/>
      <c r="I24" s="62" t="n">
        <f aca="false">F24</f>
        <v>0</v>
      </c>
    </row>
    <row r="25" customFormat="false" ht="15" hidden="false" customHeight="false" outlineLevel="0" collapsed="false">
      <c r="A25" s="61" t="s">
        <v>87</v>
      </c>
      <c r="B25" s="61"/>
      <c r="C25" s="61"/>
      <c r="D25" s="61"/>
      <c r="E25" s="61"/>
      <c r="F25" s="62" t="n">
        <v>0</v>
      </c>
      <c r="G25" s="63"/>
      <c r="H25" s="63"/>
      <c r="I25" s="62" t="n">
        <f aca="false">F25</f>
        <v>0</v>
      </c>
    </row>
    <row r="26" customFormat="false" ht="15" hidden="false" customHeight="false" outlineLevel="0" collapsed="false">
      <c r="A26" s="64" t="s">
        <v>88</v>
      </c>
      <c r="B26" s="64"/>
      <c r="C26" s="64"/>
      <c r="D26" s="64"/>
      <c r="E26" s="64"/>
      <c r="F26" s="65" t="n">
        <v>0</v>
      </c>
      <c r="G26" s="10"/>
      <c r="H26" s="10"/>
      <c r="I26" s="65" t="n">
        <f aca="false">F26</f>
        <v>0</v>
      </c>
    </row>
    <row r="27" customFormat="false" ht="15" hidden="false" customHeight="false" outlineLevel="0" collapsed="false">
      <c r="A27" s="66" t="s">
        <v>89</v>
      </c>
      <c r="B27" s="66"/>
      <c r="C27" s="66"/>
      <c r="D27" s="66"/>
      <c r="E27" s="66"/>
      <c r="F27" s="67"/>
      <c r="G27" s="68"/>
      <c r="H27" s="68"/>
      <c r="I27" s="69" t="n">
        <f aca="false">SUM(I21:I26)</f>
        <v>0</v>
      </c>
    </row>
    <row r="29" customFormat="false" ht="15" hidden="false" customHeight="false" outlineLevel="0" collapsed="false">
      <c r="A29" s="70" t="s">
        <v>90</v>
      </c>
      <c r="B29" s="70"/>
      <c r="C29" s="70"/>
      <c r="D29" s="70"/>
      <c r="E29" s="70"/>
      <c r="F29" s="71" t="n">
        <f aca="false">I18+I27</f>
        <v>0</v>
      </c>
      <c r="G29" s="71"/>
      <c r="H29" s="71"/>
      <c r="I29" s="71"/>
    </row>
    <row r="33" customFormat="false" ht="15" hidden="false" customHeight="false" outlineLevel="0" collapsed="false">
      <c r="A33" s="58" t="s">
        <v>91</v>
      </c>
      <c r="B33" s="58"/>
      <c r="C33" s="58"/>
      <c r="D33" s="58"/>
      <c r="E33" s="58"/>
    </row>
    <row r="34" customFormat="false" ht="15" hidden="false" customHeight="false" outlineLevel="0" collapsed="false">
      <c r="A34" s="59" t="s">
        <v>92</v>
      </c>
      <c r="B34" s="59"/>
      <c r="C34" s="59"/>
      <c r="D34" s="59"/>
      <c r="E34" s="59"/>
      <c r="F34" s="60" t="s">
        <v>78</v>
      </c>
      <c r="G34" s="60" t="s">
        <v>79</v>
      </c>
      <c r="H34" s="60" t="s">
        <v>80</v>
      </c>
      <c r="I34" s="60" t="s">
        <v>78</v>
      </c>
    </row>
    <row r="35" customFormat="false" ht="15" hidden="false" customHeight="false" outlineLevel="0" collapsed="false">
      <c r="A35" s="64"/>
      <c r="B35" s="64"/>
      <c r="C35" s="64"/>
      <c r="D35" s="64"/>
      <c r="E35" s="64"/>
      <c r="F35" s="65" t="n">
        <v>0</v>
      </c>
      <c r="G35" s="10"/>
      <c r="H35" s="10"/>
      <c r="I35" s="65" t="n">
        <f aca="false">F35</f>
        <v>0</v>
      </c>
    </row>
    <row r="36" customFormat="false" ht="15" hidden="false" customHeight="false" outlineLevel="0" collapsed="false">
      <c r="A36" s="66" t="s">
        <v>93</v>
      </c>
      <c r="B36" s="66"/>
      <c r="C36" s="66"/>
      <c r="D36" s="66"/>
      <c r="E36" s="66"/>
      <c r="F36" s="67"/>
      <c r="G36" s="68"/>
      <c r="H36" s="68"/>
      <c r="I36" s="69" t="n">
        <f aca="false">SUM(I35)</f>
        <v>0</v>
      </c>
    </row>
  </sheetData>
  <mergeCells count="51">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932CC"/>
    <pageSetUpPr fitToPage="true"/>
  </sheetPr>
  <dimension ref="A1:BX2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12.1484375" defaultRowHeight="15" customHeight="true" zeroHeight="false" outlineLevelRow="0" outlineLevelCol="0"/>
  <cols>
    <col collapsed="false" customWidth="true" hidden="false" outlineLevel="0" max="1" min="1" style="22" width="4"/>
    <col collapsed="false" customWidth="true" hidden="false" outlineLevel="0" max="2" min="2" style="22" width="7.57"/>
    <col collapsed="false" customWidth="true" hidden="false" outlineLevel="0" max="3" min="3" style="22" width="14.09"/>
    <col collapsed="false" customWidth="true" hidden="false" outlineLevel="0" max="4" min="4" style="103" width="42.86"/>
    <col collapsed="false" customWidth="true" hidden="false" outlineLevel="0" max="5" min="5" style="22" width="35.71"/>
    <col collapsed="false" customWidth="true" hidden="false" outlineLevel="0" max="6" min="6" style="22" width="5.14"/>
    <col collapsed="false" customWidth="true" hidden="false" outlineLevel="0" max="7" min="7" style="104" width="10.62"/>
    <col collapsed="false" customWidth="true" hidden="false" outlineLevel="0" max="8" min="8" style="22" width="12"/>
    <col collapsed="false" customWidth="true" hidden="false" outlineLevel="0" max="9" min="9" style="22" width="10.51"/>
    <col collapsed="false" customWidth="true" hidden="false" outlineLevel="0" max="10" min="10" style="22" width="13.01"/>
    <col collapsed="false" customWidth="true" hidden="false" outlineLevel="0" max="11" min="11" style="22" width="15.71"/>
    <col collapsed="false" customWidth="true" hidden="false" outlineLevel="0" max="12" min="12" style="22" width="8.23"/>
    <col collapsed="false" customWidth="true" hidden="false" outlineLevel="0" max="13" min="13" style="22" width="7.69"/>
    <col collapsed="false" customWidth="true" hidden="false" outlineLevel="0" max="14" min="14" style="22" width="11.92"/>
    <col collapsed="false" customWidth="false" hidden="true" outlineLevel="0" max="75" min="25" style="22" width="12.15"/>
    <col collapsed="false" customWidth="true" hidden="true" outlineLevel="0" max="76" min="76" style="22" width="78.57"/>
    <col collapsed="false" customWidth="false" hidden="true" outlineLevel="0" max="78" min="77" style="22" width="12.15"/>
  </cols>
  <sheetData>
    <row r="1" customFormat="false" ht="39.7" hidden="false" customHeight="true" outlineLevel="0" collapsed="false">
      <c r="A1" s="106" t="s">
        <v>795</v>
      </c>
      <c r="B1" s="106"/>
      <c r="C1" s="106"/>
      <c r="D1" s="106"/>
      <c r="E1" s="106"/>
      <c r="F1" s="106"/>
      <c r="G1" s="106"/>
      <c r="H1" s="106"/>
      <c r="I1" s="106"/>
      <c r="J1" s="106"/>
      <c r="K1" s="106"/>
      <c r="L1" s="106"/>
      <c r="M1" s="106"/>
      <c r="N1" s="106"/>
      <c r="AS1" s="107" t="n">
        <f aca="false">SUM(AJ1:AJ2)</f>
        <v>0</v>
      </c>
      <c r="AT1" s="107" t="n">
        <f aca="false">SUM(AK1:AK2)</f>
        <v>0</v>
      </c>
      <c r="AU1" s="107" t="n">
        <f aca="false">SUM(AL1:AL2)</f>
        <v>0</v>
      </c>
    </row>
    <row r="2" customFormat="false" ht="15" hidden="false" customHeight="true" outlineLevel="0" collapsed="false">
      <c r="A2" s="3" t="s">
        <v>1</v>
      </c>
      <c r="B2" s="3"/>
      <c r="C2" s="3"/>
      <c r="D2" s="4" t="str">
        <f aca="false">'Stavební rozpočet'!C2</f>
        <v>Přeměna sídlištních ploch – II. Etapa _ Fontána Jablko</v>
      </c>
      <c r="E2" s="4"/>
      <c r="F2" s="108" t="s">
        <v>95</v>
      </c>
      <c r="G2" s="108"/>
      <c r="H2" s="5" t="str">
        <f aca="false">'Stavební rozpočet'!F2</f>
        <v> </v>
      </c>
      <c r="I2" s="5" t="s">
        <v>2</v>
      </c>
      <c r="J2" s="73" t="str">
        <f aca="false">'Stavební rozpočet'!I2</f>
        <v>Městská část Praha 12, Generála Šišky 2375/6, 143</v>
      </c>
      <c r="K2" s="73"/>
      <c r="L2" s="73"/>
      <c r="M2" s="73"/>
      <c r="N2" s="73"/>
    </row>
    <row r="3" customFormat="false" ht="15" hidden="false" customHeight="false" outlineLevel="0" collapsed="false">
      <c r="A3" s="3"/>
      <c r="B3" s="3"/>
      <c r="C3" s="3"/>
      <c r="D3" s="4"/>
      <c r="E3" s="4"/>
      <c r="F3" s="108"/>
      <c r="G3" s="108"/>
      <c r="H3" s="5"/>
      <c r="I3" s="5"/>
      <c r="J3" s="5"/>
      <c r="K3" s="73"/>
      <c r="L3" s="73"/>
      <c r="M3" s="73"/>
      <c r="N3" s="73"/>
    </row>
    <row r="4" customFormat="false" ht="15" hidden="false" customHeight="true" outlineLevel="0" collapsed="false">
      <c r="A4" s="8" t="s">
        <v>5</v>
      </c>
      <c r="B4" s="8"/>
      <c r="C4" s="8"/>
      <c r="D4" s="9" t="str">
        <f aca="false">'Stavební rozpočet'!C4</f>
        <v>Stavební úpravy veřejného prostranství _Fontána Jablko</v>
      </c>
      <c r="E4" s="9"/>
      <c r="F4" s="11" t="s">
        <v>10</v>
      </c>
      <c r="G4" s="11"/>
      <c r="H4" s="9" t="str">
        <f aca="false">'Stavební rozpočet'!F4</f>
        <v> </v>
      </c>
      <c r="I4" s="9" t="s">
        <v>6</v>
      </c>
      <c r="J4" s="74" t="str">
        <f aca="false">'Stavební rozpočet'!I4</f>
        <v>HUA HUA ARCHITECTS s.r.o., Porážka 459/2, 602 00 Brno</v>
      </c>
      <c r="K4" s="74"/>
      <c r="L4" s="74"/>
      <c r="M4" s="74"/>
      <c r="N4" s="74"/>
    </row>
    <row r="5" customFormat="false" ht="15" hidden="false" customHeight="false" outlineLevel="0" collapsed="false">
      <c r="A5" s="8"/>
      <c r="B5" s="8"/>
      <c r="C5" s="8"/>
      <c r="D5" s="9"/>
      <c r="E5" s="9"/>
      <c r="F5" s="11"/>
      <c r="G5" s="11"/>
      <c r="H5" s="9"/>
      <c r="I5" s="9"/>
      <c r="J5" s="9"/>
      <c r="K5" s="74"/>
      <c r="L5" s="74"/>
      <c r="M5" s="74"/>
      <c r="N5" s="74"/>
    </row>
    <row r="6" customFormat="false" ht="15" hidden="false" customHeight="true" outlineLevel="0" collapsed="false">
      <c r="A6" s="8" t="s">
        <v>8</v>
      </c>
      <c r="B6" s="8"/>
      <c r="C6" s="8"/>
      <c r="D6" s="9" t="str">
        <f aca="false">'Stavební rozpočet'!C6</f>
        <v>Praha (554782),Modřany (728616), par.č. 4400/448</v>
      </c>
      <c r="E6" s="9"/>
      <c r="F6" s="11" t="s">
        <v>11</v>
      </c>
      <c r="G6" s="11"/>
      <c r="H6" s="9" t="str">
        <f aca="false">'Stavební rozpočet'!F6</f>
        <v> </v>
      </c>
      <c r="I6" s="9" t="s">
        <v>9</v>
      </c>
      <c r="J6" s="74" t="str">
        <f aca="false">'Stavební rozpočet'!I6</f>
        <v> </v>
      </c>
      <c r="K6" s="74"/>
      <c r="L6" s="74"/>
      <c r="M6" s="74"/>
      <c r="N6" s="74"/>
    </row>
    <row r="7" customFormat="false" ht="15" hidden="false" customHeight="false" outlineLevel="0" collapsed="false">
      <c r="A7" s="8"/>
      <c r="B7" s="8"/>
      <c r="C7" s="8"/>
      <c r="D7" s="9"/>
      <c r="E7" s="9"/>
      <c r="F7" s="11"/>
      <c r="G7" s="11"/>
      <c r="H7" s="9"/>
      <c r="I7" s="9"/>
      <c r="J7" s="9"/>
      <c r="K7" s="74"/>
      <c r="L7" s="74"/>
      <c r="M7" s="74"/>
      <c r="N7" s="74"/>
    </row>
    <row r="8" customFormat="false" ht="15" hidden="false" customHeight="true" outlineLevel="0" collapsed="false">
      <c r="A8" s="8" t="s">
        <v>13</v>
      </c>
      <c r="B8" s="8"/>
      <c r="C8" s="8"/>
      <c r="D8" s="9" t="str">
        <f aca="false">'Stavební rozpočet'!C8</f>
        <v>8225733</v>
      </c>
      <c r="E8" s="9"/>
      <c r="F8" s="11" t="s">
        <v>96</v>
      </c>
      <c r="G8" s="11"/>
      <c r="H8" s="9" t="str">
        <f aca="false">'Stavební rozpočet'!F8</f>
        <v>08.01.2026</v>
      </c>
      <c r="I8" s="9" t="s">
        <v>14</v>
      </c>
      <c r="J8" s="74" t="str">
        <f aca="false">'Stavební rozpočet'!I8</f>
        <v>Bohuslav Hemala</v>
      </c>
      <c r="K8" s="74"/>
      <c r="L8" s="74"/>
      <c r="M8" s="74"/>
      <c r="N8" s="74"/>
    </row>
    <row r="9" customFormat="false" ht="15" hidden="false" customHeight="false" outlineLevel="0" collapsed="false">
      <c r="A9" s="8"/>
      <c r="B9" s="8"/>
      <c r="C9" s="8"/>
      <c r="D9" s="9"/>
      <c r="E9" s="9"/>
      <c r="F9" s="11"/>
      <c r="G9" s="11"/>
      <c r="H9" s="9"/>
      <c r="I9" s="9"/>
      <c r="J9" s="9"/>
      <c r="K9" s="74"/>
      <c r="L9" s="74"/>
      <c r="M9" s="74"/>
      <c r="N9" s="74"/>
    </row>
    <row r="10" customFormat="false" ht="15" hidden="false" customHeight="true" outlineLevel="0" collapsed="false">
      <c r="A10" s="109" t="s">
        <v>124</v>
      </c>
      <c r="B10" s="110" t="s">
        <v>100</v>
      </c>
      <c r="C10" s="110" t="s">
        <v>125</v>
      </c>
      <c r="D10" s="111" t="s">
        <v>101</v>
      </c>
      <c r="E10" s="111"/>
      <c r="F10" s="110" t="s">
        <v>126</v>
      </c>
      <c r="G10" s="112" t="s">
        <v>127</v>
      </c>
      <c r="H10" s="113" t="s">
        <v>128</v>
      </c>
      <c r="I10" s="77" t="s">
        <v>98</v>
      </c>
      <c r="J10" s="77"/>
      <c r="K10" s="77"/>
      <c r="L10" s="114" t="s">
        <v>99</v>
      </c>
      <c r="M10" s="114"/>
      <c r="N10" s="115" t="s">
        <v>129</v>
      </c>
      <c r="BK10" s="116" t="s">
        <v>130</v>
      </c>
      <c r="BL10" s="117" t="s">
        <v>131</v>
      </c>
      <c r="BW10" s="117" t="s">
        <v>132</v>
      </c>
    </row>
    <row r="11" customFormat="false" ht="15" hidden="false" customHeight="true" outlineLevel="0" collapsed="false">
      <c r="A11" s="118" t="s">
        <v>97</v>
      </c>
      <c r="B11" s="119" t="s">
        <v>97</v>
      </c>
      <c r="C11" s="119" t="s">
        <v>97</v>
      </c>
      <c r="D11" s="120" t="s">
        <v>133</v>
      </c>
      <c r="E11" s="120"/>
      <c r="F11" s="119" t="s">
        <v>97</v>
      </c>
      <c r="G11" s="121" t="s">
        <v>97</v>
      </c>
      <c r="H11" s="122" t="s">
        <v>134</v>
      </c>
      <c r="I11" s="81" t="s">
        <v>102</v>
      </c>
      <c r="J11" s="82" t="s">
        <v>40</v>
      </c>
      <c r="K11" s="83" t="s">
        <v>103</v>
      </c>
      <c r="L11" s="82" t="s">
        <v>135</v>
      </c>
      <c r="M11" s="122" t="s">
        <v>103</v>
      </c>
      <c r="N11" s="81" t="s">
        <v>136</v>
      </c>
      <c r="Z11" s="116" t="s">
        <v>137</v>
      </c>
      <c r="AA11" s="116" t="s">
        <v>138</v>
      </c>
      <c r="AB11" s="116" t="s">
        <v>139</v>
      </c>
      <c r="AC11" s="116" t="s">
        <v>140</v>
      </c>
      <c r="AD11" s="116" t="s">
        <v>141</v>
      </c>
      <c r="AE11" s="116" t="s">
        <v>142</v>
      </c>
      <c r="AF11" s="116" t="s">
        <v>143</v>
      </c>
      <c r="AG11" s="116" t="s">
        <v>144</v>
      </c>
      <c r="AH11" s="116" t="s">
        <v>145</v>
      </c>
      <c r="BH11" s="116" t="s">
        <v>146</v>
      </c>
      <c r="BI11" s="116" t="s">
        <v>147</v>
      </c>
      <c r="BJ11" s="116" t="s">
        <v>148</v>
      </c>
    </row>
    <row r="12" customFormat="false" ht="19.85" hidden="false" customHeight="true" outlineLevel="0" collapsed="false">
      <c r="A12" s="98"/>
      <c r="B12" s="162" t="s">
        <v>113</v>
      </c>
      <c r="C12" s="162"/>
      <c r="D12" s="163" t="s">
        <v>75</v>
      </c>
      <c r="E12" s="163"/>
      <c r="F12" s="98" t="s">
        <v>97</v>
      </c>
      <c r="G12" s="164" t="s">
        <v>97</v>
      </c>
      <c r="H12" s="98" t="s">
        <v>97</v>
      </c>
      <c r="I12" s="165" t="n">
        <f aca="false">ROUND(SUM(I13),2)</f>
        <v>0</v>
      </c>
      <c r="J12" s="165" t="n">
        <f aca="false">ROUND(SUM(J13),2)</f>
        <v>0</v>
      </c>
      <c r="K12" s="165" t="n">
        <f aca="false">ROUND(SUM(K13),2)</f>
        <v>0</v>
      </c>
      <c r="L12" s="166"/>
      <c r="M12" s="165" t="n">
        <f aca="false">SUM(M13)</f>
        <v>0</v>
      </c>
      <c r="N12" s="166"/>
    </row>
    <row r="13" customFormat="false" ht="15" hidden="false" customHeight="true" outlineLevel="0" collapsed="false">
      <c r="A13" s="128"/>
      <c r="B13" s="129" t="s">
        <v>113</v>
      </c>
      <c r="C13" s="129" t="s">
        <v>606</v>
      </c>
      <c r="D13" s="130" t="s">
        <v>607</v>
      </c>
      <c r="E13" s="130"/>
      <c r="F13" s="128" t="s">
        <v>97</v>
      </c>
      <c r="G13" s="131" t="s">
        <v>97</v>
      </c>
      <c r="H13" s="128" t="s">
        <v>97</v>
      </c>
      <c r="I13" s="132" t="n">
        <f aca="false">ROUND(SUM(I14:I23),2)</f>
        <v>0</v>
      </c>
      <c r="J13" s="132" t="n">
        <f aca="false">ROUND(SUM(J14:J23),2)</f>
        <v>0</v>
      </c>
      <c r="K13" s="132" t="n">
        <f aca="false">ROUND(SUM(K14:K23),2)</f>
        <v>0</v>
      </c>
      <c r="L13" s="133"/>
      <c r="M13" s="132" t="n">
        <f aca="false">SUM(M14:M23)</f>
        <v>0</v>
      </c>
      <c r="N13" s="133"/>
      <c r="AI13" s="116" t="s">
        <v>113</v>
      </c>
      <c r="AS13" s="107" t="n">
        <f aca="false">SUM(AJ14:AJ23)</f>
        <v>0</v>
      </c>
      <c r="AT13" s="107" t="n">
        <f aca="false">SUM(AK14:AK23)</f>
        <v>0</v>
      </c>
      <c r="AU13" s="107" t="n">
        <f aca="false">SUM(AL14:AL23)</f>
        <v>0</v>
      </c>
    </row>
    <row r="14" customFormat="false" ht="23.85" hidden="false" customHeight="true" outlineLevel="0" collapsed="false">
      <c r="A14" s="134" t="s">
        <v>151</v>
      </c>
      <c r="B14" s="134" t="s">
        <v>113</v>
      </c>
      <c r="C14" s="134" t="s">
        <v>609</v>
      </c>
      <c r="D14" s="135" t="s">
        <v>610</v>
      </c>
      <c r="E14" s="135"/>
      <c r="F14" s="134" t="s">
        <v>163</v>
      </c>
      <c r="G14" s="136" t="n">
        <f aca="false">'Stavební rozpočet'!G178</f>
        <v>16</v>
      </c>
      <c r="H14" s="137" t="n">
        <f aca="false">'Stavební rozpočet'!H178</f>
        <v>0</v>
      </c>
      <c r="I14" s="137" t="n">
        <f aca="false">ROUND(G14*AO14,2)</f>
        <v>0</v>
      </c>
      <c r="J14" s="137" t="n">
        <f aca="false">ROUND(G14*AP14,2)</f>
        <v>0</v>
      </c>
      <c r="K14" s="137" t="n">
        <f aca="false">ROUND(G14*H14,2)</f>
        <v>0</v>
      </c>
      <c r="L14" s="137" t="n">
        <f aca="false">'Stavební rozpočet'!L178</f>
        <v>0</v>
      </c>
      <c r="M14" s="137" t="n">
        <f aca="false">G14*L14</f>
        <v>0</v>
      </c>
      <c r="N14" s="138" t="s">
        <v>155</v>
      </c>
      <c r="Z14" s="88" t="n">
        <f aca="false">ROUND(IF(AQ14="5",BJ14,0),2)</f>
        <v>0</v>
      </c>
      <c r="AB14" s="88" t="n">
        <f aca="false">ROUND(IF(AQ14="1",BH14,0),2)</f>
        <v>0</v>
      </c>
      <c r="AC14" s="88" t="n">
        <f aca="false">ROUND(IF(AQ14="1",BI14,0),2)</f>
        <v>0</v>
      </c>
      <c r="AD14" s="88" t="n">
        <f aca="false">ROUND(IF(AQ14="7",BH14,0),2)</f>
        <v>0</v>
      </c>
      <c r="AE14" s="88" t="n">
        <f aca="false">ROUND(IF(AQ14="7",BI14,0),2)</f>
        <v>0</v>
      </c>
      <c r="AF14" s="88" t="n">
        <f aca="false">ROUND(IF(AQ14="2",BH14,0),2)</f>
        <v>0</v>
      </c>
      <c r="AG14" s="88" t="n">
        <f aca="false">ROUND(IF(AQ14="2",BI14,0),2)</f>
        <v>0</v>
      </c>
      <c r="AH14" s="88" t="n">
        <f aca="false">ROUND(IF(AQ14="0",BJ14,0),2)</f>
        <v>0</v>
      </c>
      <c r="AI14" s="116" t="s">
        <v>113</v>
      </c>
      <c r="AJ14" s="88" t="n">
        <f aca="false">IF(AN14=0,K14,0)</f>
        <v>0</v>
      </c>
      <c r="AK14" s="88" t="n">
        <f aca="false">IF(AN14=12,K14,0)</f>
        <v>0</v>
      </c>
      <c r="AL14" s="88" t="n">
        <f aca="false">IF(AN14=21,K14,0)</f>
        <v>0</v>
      </c>
      <c r="AN14" s="88" t="n">
        <v>21</v>
      </c>
      <c r="AO14" s="88" t="n">
        <f aca="false">H14*0</f>
        <v>0</v>
      </c>
      <c r="AP14" s="88" t="n">
        <f aca="false">H14*(1-0)</f>
        <v>0</v>
      </c>
      <c r="AQ14" s="87" t="s">
        <v>160</v>
      </c>
      <c r="AV14" s="88" t="n">
        <f aca="false">ROUND(AW14+AX14,2)</f>
        <v>0</v>
      </c>
      <c r="AW14" s="88" t="n">
        <f aca="false">ROUND(G14*AO14,2)</f>
        <v>0</v>
      </c>
      <c r="AX14" s="88" t="n">
        <f aca="false">ROUND(G14*AP14,2)</f>
        <v>0</v>
      </c>
      <c r="AY14" s="87" t="s">
        <v>611</v>
      </c>
      <c r="AZ14" s="87" t="s">
        <v>612</v>
      </c>
      <c r="BA14" s="116" t="s">
        <v>613</v>
      </c>
      <c r="BC14" s="88" t="n">
        <f aca="false">AW14+AX14</f>
        <v>0</v>
      </c>
      <c r="BD14" s="88" t="n">
        <f aca="false">H14/(100-BE14)*100</f>
        <v>0</v>
      </c>
      <c r="BE14" s="88" t="n">
        <v>0</v>
      </c>
      <c r="BF14" s="88" t="n">
        <f aca="false">M14</f>
        <v>0</v>
      </c>
      <c r="BH14" s="88" t="n">
        <f aca="false">G14*AO14</f>
        <v>0</v>
      </c>
      <c r="BI14" s="88" t="n">
        <f aca="false">G14*AP14</f>
        <v>0</v>
      </c>
      <c r="BJ14" s="88" t="n">
        <f aca="false">G14*H14</f>
        <v>0</v>
      </c>
      <c r="BK14" s="87" t="s">
        <v>159</v>
      </c>
      <c r="BL14" s="88"/>
      <c r="BW14" s="88" t="n">
        <v>21</v>
      </c>
      <c r="BX14" s="9" t="s">
        <v>610</v>
      </c>
    </row>
    <row r="15" customFormat="false" ht="15" hidden="false" customHeight="true" outlineLevel="0" collapsed="false">
      <c r="A15" s="134" t="s">
        <v>160</v>
      </c>
      <c r="B15" s="134" t="s">
        <v>113</v>
      </c>
      <c r="C15" s="134" t="s">
        <v>609</v>
      </c>
      <c r="D15" s="135" t="s">
        <v>615</v>
      </c>
      <c r="E15" s="135"/>
      <c r="F15" s="134" t="s">
        <v>163</v>
      </c>
      <c r="G15" s="136" t="n">
        <f aca="false">'Stavební rozpočet'!G179</f>
        <v>25</v>
      </c>
      <c r="H15" s="137" t="n">
        <f aca="false">'Stavební rozpočet'!H179</f>
        <v>0</v>
      </c>
      <c r="I15" s="137" t="n">
        <f aca="false">ROUND(G15*AO15,2)</f>
        <v>0</v>
      </c>
      <c r="J15" s="137" t="n">
        <f aca="false">ROUND(G15*AP15,2)</f>
        <v>0</v>
      </c>
      <c r="K15" s="137" t="n">
        <f aca="false">ROUND(G15*H15,2)</f>
        <v>0</v>
      </c>
      <c r="L15" s="137" t="n">
        <f aca="false">'Stavební rozpočet'!L179</f>
        <v>0</v>
      </c>
      <c r="M15" s="137" t="n">
        <f aca="false">G15*L15</f>
        <v>0</v>
      </c>
      <c r="N15" s="138" t="s">
        <v>155</v>
      </c>
      <c r="Z15" s="88" t="n">
        <f aca="false">ROUND(IF(AQ15="5",BJ15,0),2)</f>
        <v>0</v>
      </c>
      <c r="AB15" s="88" t="n">
        <f aca="false">ROUND(IF(AQ15="1",BH15,0),2)</f>
        <v>0</v>
      </c>
      <c r="AC15" s="88" t="n">
        <f aca="false">ROUND(IF(AQ15="1",BI15,0),2)</f>
        <v>0</v>
      </c>
      <c r="AD15" s="88" t="n">
        <f aca="false">ROUND(IF(AQ15="7",BH15,0),2)</f>
        <v>0</v>
      </c>
      <c r="AE15" s="88" t="n">
        <f aca="false">ROUND(IF(AQ15="7",BI15,0),2)</f>
        <v>0</v>
      </c>
      <c r="AF15" s="88" t="n">
        <f aca="false">ROUND(IF(AQ15="2",BH15,0),2)</f>
        <v>0</v>
      </c>
      <c r="AG15" s="88" t="n">
        <f aca="false">ROUND(IF(AQ15="2",BI15,0),2)</f>
        <v>0</v>
      </c>
      <c r="AH15" s="88" t="n">
        <f aca="false">ROUND(IF(AQ15="0",BJ15,0),2)</f>
        <v>0</v>
      </c>
      <c r="AI15" s="116" t="s">
        <v>113</v>
      </c>
      <c r="AJ15" s="88" t="n">
        <f aca="false">IF(AN15=0,K15,0)</f>
        <v>0</v>
      </c>
      <c r="AK15" s="88" t="n">
        <f aca="false">IF(AN15=12,K15,0)</f>
        <v>0</v>
      </c>
      <c r="AL15" s="88" t="n">
        <f aca="false">IF(AN15=21,K15,0)</f>
        <v>0</v>
      </c>
      <c r="AN15" s="88" t="n">
        <v>21</v>
      </c>
      <c r="AO15" s="88" t="n">
        <f aca="false">H15*0</f>
        <v>0</v>
      </c>
      <c r="AP15" s="88" t="n">
        <f aca="false">H15*(1-0)</f>
        <v>0</v>
      </c>
      <c r="AQ15" s="87" t="s">
        <v>160</v>
      </c>
      <c r="AV15" s="88" t="n">
        <f aca="false">ROUND(AW15+AX15,2)</f>
        <v>0</v>
      </c>
      <c r="AW15" s="88" t="n">
        <f aca="false">ROUND(G15*AO15,2)</f>
        <v>0</v>
      </c>
      <c r="AX15" s="88" t="n">
        <f aca="false">ROUND(G15*AP15,2)</f>
        <v>0</v>
      </c>
      <c r="AY15" s="87" t="s">
        <v>611</v>
      </c>
      <c r="AZ15" s="87" t="s">
        <v>612</v>
      </c>
      <c r="BA15" s="116" t="s">
        <v>613</v>
      </c>
      <c r="BC15" s="88" t="n">
        <f aca="false">AW15+AX15</f>
        <v>0</v>
      </c>
      <c r="BD15" s="88" t="n">
        <f aca="false">H15/(100-BE15)*100</f>
        <v>0</v>
      </c>
      <c r="BE15" s="88" t="n">
        <v>0</v>
      </c>
      <c r="BF15" s="88" t="n">
        <f aca="false">M15</f>
        <v>0</v>
      </c>
      <c r="BH15" s="88" t="n">
        <f aca="false">G15*AO15</f>
        <v>0</v>
      </c>
      <c r="BI15" s="88" t="n">
        <f aca="false">G15*AP15</f>
        <v>0</v>
      </c>
      <c r="BJ15" s="88" t="n">
        <f aca="false">G15*H15</f>
        <v>0</v>
      </c>
      <c r="BK15" s="87" t="s">
        <v>159</v>
      </c>
      <c r="BL15" s="88"/>
      <c r="BW15" s="88" t="n">
        <v>21</v>
      </c>
      <c r="BX15" s="9" t="s">
        <v>615</v>
      </c>
    </row>
    <row r="16" customFormat="false" ht="15" hidden="false" customHeight="true" outlineLevel="0" collapsed="false">
      <c r="A16" s="134" t="s">
        <v>164</v>
      </c>
      <c r="B16" s="134" t="s">
        <v>113</v>
      </c>
      <c r="C16" s="134" t="s">
        <v>609</v>
      </c>
      <c r="D16" s="135" t="s">
        <v>617</v>
      </c>
      <c r="E16" s="135"/>
      <c r="F16" s="134" t="s">
        <v>163</v>
      </c>
      <c r="G16" s="136" t="n">
        <f aca="false">'Stavební rozpočet'!G180</f>
        <v>3</v>
      </c>
      <c r="H16" s="137" t="n">
        <f aca="false">'Stavební rozpočet'!H180</f>
        <v>0</v>
      </c>
      <c r="I16" s="137" t="n">
        <f aca="false">ROUND(G16*AO16,2)</f>
        <v>0</v>
      </c>
      <c r="J16" s="137" t="n">
        <f aca="false">ROUND(G16*AP16,2)</f>
        <v>0</v>
      </c>
      <c r="K16" s="137" t="n">
        <f aca="false">ROUND(G16*H16,2)</f>
        <v>0</v>
      </c>
      <c r="L16" s="137" t="n">
        <f aca="false">'Stavební rozpočet'!L180</f>
        <v>0</v>
      </c>
      <c r="M16" s="137" t="n">
        <f aca="false">G16*L16</f>
        <v>0</v>
      </c>
      <c r="N16" s="138" t="s">
        <v>155</v>
      </c>
      <c r="Z16" s="88" t="n">
        <f aca="false">ROUND(IF(AQ16="5",BJ16,0),2)</f>
        <v>0</v>
      </c>
      <c r="AB16" s="88" t="n">
        <f aca="false">ROUND(IF(AQ16="1",BH16,0),2)</f>
        <v>0</v>
      </c>
      <c r="AC16" s="88" t="n">
        <f aca="false">ROUND(IF(AQ16="1",BI16,0),2)</f>
        <v>0</v>
      </c>
      <c r="AD16" s="88" t="n">
        <f aca="false">ROUND(IF(AQ16="7",BH16,0),2)</f>
        <v>0</v>
      </c>
      <c r="AE16" s="88" t="n">
        <f aca="false">ROUND(IF(AQ16="7",BI16,0),2)</f>
        <v>0</v>
      </c>
      <c r="AF16" s="88" t="n">
        <f aca="false">ROUND(IF(AQ16="2",BH16,0),2)</f>
        <v>0</v>
      </c>
      <c r="AG16" s="88" t="n">
        <f aca="false">ROUND(IF(AQ16="2",BI16,0),2)</f>
        <v>0</v>
      </c>
      <c r="AH16" s="88" t="n">
        <f aca="false">ROUND(IF(AQ16="0",BJ16,0),2)</f>
        <v>0</v>
      </c>
      <c r="AI16" s="116" t="s">
        <v>113</v>
      </c>
      <c r="AJ16" s="88" t="n">
        <f aca="false">IF(AN16=0,K16,0)</f>
        <v>0</v>
      </c>
      <c r="AK16" s="88" t="n">
        <f aca="false">IF(AN16=12,K16,0)</f>
        <v>0</v>
      </c>
      <c r="AL16" s="88" t="n">
        <f aca="false">IF(AN16=21,K16,0)</f>
        <v>0</v>
      </c>
      <c r="AN16" s="88" t="n">
        <v>21</v>
      </c>
      <c r="AO16" s="88" t="n">
        <f aca="false">H16*0</f>
        <v>0</v>
      </c>
      <c r="AP16" s="88" t="n">
        <f aca="false">H16*(1-0)</f>
        <v>0</v>
      </c>
      <c r="AQ16" s="87" t="s">
        <v>160</v>
      </c>
      <c r="AV16" s="88" t="n">
        <f aca="false">ROUND(AW16+AX16,2)</f>
        <v>0</v>
      </c>
      <c r="AW16" s="88" t="n">
        <f aca="false">ROUND(G16*AO16,2)</f>
        <v>0</v>
      </c>
      <c r="AX16" s="88" t="n">
        <f aca="false">ROUND(G16*AP16,2)</f>
        <v>0</v>
      </c>
      <c r="AY16" s="87" t="s">
        <v>611</v>
      </c>
      <c r="AZ16" s="87" t="s">
        <v>612</v>
      </c>
      <c r="BA16" s="116" t="s">
        <v>613</v>
      </c>
      <c r="BC16" s="88" t="n">
        <f aca="false">AW16+AX16</f>
        <v>0</v>
      </c>
      <c r="BD16" s="88" t="n">
        <f aca="false">H16/(100-BE16)*100</f>
        <v>0</v>
      </c>
      <c r="BE16" s="88" t="n">
        <v>0</v>
      </c>
      <c r="BF16" s="88" t="n">
        <f aca="false">M16</f>
        <v>0</v>
      </c>
      <c r="BH16" s="88" t="n">
        <f aca="false">G16*AO16</f>
        <v>0</v>
      </c>
      <c r="BI16" s="88" t="n">
        <f aca="false">G16*AP16</f>
        <v>0</v>
      </c>
      <c r="BJ16" s="88" t="n">
        <f aca="false">G16*H16</f>
        <v>0</v>
      </c>
      <c r="BK16" s="87" t="s">
        <v>159</v>
      </c>
      <c r="BL16" s="88"/>
      <c r="BW16" s="88" t="n">
        <v>21</v>
      </c>
      <c r="BX16" s="9" t="s">
        <v>617</v>
      </c>
    </row>
    <row r="17" customFormat="false" ht="15" hidden="false" customHeight="true" outlineLevel="0" collapsed="false">
      <c r="A17" s="134" t="s">
        <v>166</v>
      </c>
      <c r="B17" s="134" t="s">
        <v>113</v>
      </c>
      <c r="C17" s="134" t="s">
        <v>609</v>
      </c>
      <c r="D17" s="135" t="s">
        <v>619</v>
      </c>
      <c r="E17" s="135"/>
      <c r="F17" s="134" t="s">
        <v>163</v>
      </c>
      <c r="G17" s="136" t="n">
        <f aca="false">'Stavební rozpočet'!G181</f>
        <v>20</v>
      </c>
      <c r="H17" s="137" t="n">
        <f aca="false">'Stavební rozpočet'!H181</f>
        <v>0</v>
      </c>
      <c r="I17" s="137" t="n">
        <f aca="false">ROUND(G17*AO17,2)</f>
        <v>0</v>
      </c>
      <c r="J17" s="137" t="n">
        <f aca="false">ROUND(G17*AP17,2)</f>
        <v>0</v>
      </c>
      <c r="K17" s="137" t="n">
        <f aca="false">ROUND(G17*H17,2)</f>
        <v>0</v>
      </c>
      <c r="L17" s="137" t="n">
        <f aca="false">'Stavební rozpočet'!L181</f>
        <v>0</v>
      </c>
      <c r="M17" s="137" t="n">
        <f aca="false">G17*L17</f>
        <v>0</v>
      </c>
      <c r="N17" s="138" t="s">
        <v>155</v>
      </c>
      <c r="Z17" s="88" t="n">
        <f aca="false">ROUND(IF(AQ17="5",BJ17,0),2)</f>
        <v>0</v>
      </c>
      <c r="AB17" s="88" t="n">
        <f aca="false">ROUND(IF(AQ17="1",BH17,0),2)</f>
        <v>0</v>
      </c>
      <c r="AC17" s="88" t="n">
        <f aca="false">ROUND(IF(AQ17="1",BI17,0),2)</f>
        <v>0</v>
      </c>
      <c r="AD17" s="88" t="n">
        <f aca="false">ROUND(IF(AQ17="7",BH17,0),2)</f>
        <v>0</v>
      </c>
      <c r="AE17" s="88" t="n">
        <f aca="false">ROUND(IF(AQ17="7",BI17,0),2)</f>
        <v>0</v>
      </c>
      <c r="AF17" s="88" t="n">
        <f aca="false">ROUND(IF(AQ17="2",BH17,0),2)</f>
        <v>0</v>
      </c>
      <c r="AG17" s="88" t="n">
        <f aca="false">ROUND(IF(AQ17="2",BI17,0),2)</f>
        <v>0</v>
      </c>
      <c r="AH17" s="88" t="n">
        <f aca="false">ROUND(IF(AQ17="0",BJ17,0),2)</f>
        <v>0</v>
      </c>
      <c r="AI17" s="116" t="s">
        <v>113</v>
      </c>
      <c r="AJ17" s="88" t="n">
        <f aca="false">IF(AN17=0,K17,0)</f>
        <v>0</v>
      </c>
      <c r="AK17" s="88" t="n">
        <f aca="false">IF(AN17=12,K17,0)</f>
        <v>0</v>
      </c>
      <c r="AL17" s="88" t="n">
        <f aca="false">IF(AN17=21,K17,0)</f>
        <v>0</v>
      </c>
      <c r="AN17" s="88" t="n">
        <v>21</v>
      </c>
      <c r="AO17" s="88" t="n">
        <f aca="false">H17*0</f>
        <v>0</v>
      </c>
      <c r="AP17" s="88" t="n">
        <f aca="false">H17*(1-0)</f>
        <v>0</v>
      </c>
      <c r="AQ17" s="87" t="s">
        <v>160</v>
      </c>
      <c r="AV17" s="88" t="n">
        <f aca="false">ROUND(AW17+AX17,2)</f>
        <v>0</v>
      </c>
      <c r="AW17" s="88" t="n">
        <f aca="false">ROUND(G17*AO17,2)</f>
        <v>0</v>
      </c>
      <c r="AX17" s="88" t="n">
        <f aca="false">ROUND(G17*AP17,2)</f>
        <v>0</v>
      </c>
      <c r="AY17" s="87" t="s">
        <v>611</v>
      </c>
      <c r="AZ17" s="87" t="s">
        <v>612</v>
      </c>
      <c r="BA17" s="116" t="s">
        <v>613</v>
      </c>
      <c r="BC17" s="88" t="n">
        <f aca="false">AW17+AX17</f>
        <v>0</v>
      </c>
      <c r="BD17" s="88" t="n">
        <f aca="false">H17/(100-BE17)*100</f>
        <v>0</v>
      </c>
      <c r="BE17" s="88" t="n">
        <v>0</v>
      </c>
      <c r="BF17" s="88" t="n">
        <f aca="false">M17</f>
        <v>0</v>
      </c>
      <c r="BH17" s="88" t="n">
        <f aca="false">G17*AO17</f>
        <v>0</v>
      </c>
      <c r="BI17" s="88" t="n">
        <f aca="false">G17*AP17</f>
        <v>0</v>
      </c>
      <c r="BJ17" s="88" t="n">
        <f aca="false">G17*H17</f>
        <v>0</v>
      </c>
      <c r="BK17" s="87" t="s">
        <v>159</v>
      </c>
      <c r="BL17" s="88"/>
      <c r="BW17" s="88" t="n">
        <v>21</v>
      </c>
      <c r="BX17" s="9" t="s">
        <v>619</v>
      </c>
    </row>
    <row r="18" customFormat="false" ht="23.85" hidden="false" customHeight="true" outlineLevel="0" collapsed="false">
      <c r="A18" s="134" t="s">
        <v>170</v>
      </c>
      <c r="B18" s="134" t="s">
        <v>113</v>
      </c>
      <c r="C18" s="134" t="s">
        <v>609</v>
      </c>
      <c r="D18" s="135" t="s">
        <v>621</v>
      </c>
      <c r="E18" s="135"/>
      <c r="F18" s="134" t="s">
        <v>163</v>
      </c>
      <c r="G18" s="136" t="n">
        <f aca="false">'Stavební rozpočet'!G182</f>
        <v>10</v>
      </c>
      <c r="H18" s="137" t="n">
        <f aca="false">'Stavební rozpočet'!H182</f>
        <v>0</v>
      </c>
      <c r="I18" s="137" t="n">
        <f aca="false">ROUND(G18*AO18,2)</f>
        <v>0</v>
      </c>
      <c r="J18" s="137" t="n">
        <f aca="false">ROUND(G18*AP18,2)</f>
        <v>0</v>
      </c>
      <c r="K18" s="137" t="n">
        <f aca="false">ROUND(G18*H18,2)</f>
        <v>0</v>
      </c>
      <c r="L18" s="137" t="n">
        <f aca="false">'Stavební rozpočet'!L182</f>
        <v>0</v>
      </c>
      <c r="M18" s="137" t="n">
        <f aca="false">G18*L18</f>
        <v>0</v>
      </c>
      <c r="N18" s="138" t="s">
        <v>155</v>
      </c>
      <c r="Z18" s="88" t="n">
        <f aca="false">ROUND(IF(AQ18="5",BJ18,0),2)</f>
        <v>0</v>
      </c>
      <c r="AB18" s="88" t="n">
        <f aca="false">ROUND(IF(AQ18="1",BH18,0),2)</f>
        <v>0</v>
      </c>
      <c r="AC18" s="88" t="n">
        <f aca="false">ROUND(IF(AQ18="1",BI18,0),2)</f>
        <v>0</v>
      </c>
      <c r="AD18" s="88" t="n">
        <f aca="false">ROUND(IF(AQ18="7",BH18,0),2)</f>
        <v>0</v>
      </c>
      <c r="AE18" s="88" t="n">
        <f aca="false">ROUND(IF(AQ18="7",BI18,0),2)</f>
        <v>0</v>
      </c>
      <c r="AF18" s="88" t="n">
        <f aca="false">ROUND(IF(AQ18="2",BH18,0),2)</f>
        <v>0</v>
      </c>
      <c r="AG18" s="88" t="n">
        <f aca="false">ROUND(IF(AQ18="2",BI18,0),2)</f>
        <v>0</v>
      </c>
      <c r="AH18" s="88" t="n">
        <f aca="false">ROUND(IF(AQ18="0",BJ18,0),2)</f>
        <v>0</v>
      </c>
      <c r="AI18" s="116" t="s">
        <v>113</v>
      </c>
      <c r="AJ18" s="88" t="n">
        <f aca="false">IF(AN18=0,K18,0)</f>
        <v>0</v>
      </c>
      <c r="AK18" s="88" t="n">
        <f aca="false">IF(AN18=12,K18,0)</f>
        <v>0</v>
      </c>
      <c r="AL18" s="88" t="n">
        <f aca="false">IF(AN18=21,K18,0)</f>
        <v>0</v>
      </c>
      <c r="AN18" s="88" t="n">
        <v>21</v>
      </c>
      <c r="AO18" s="88" t="n">
        <f aca="false">H18*0</f>
        <v>0</v>
      </c>
      <c r="AP18" s="88" t="n">
        <f aca="false">H18*(1-0)</f>
        <v>0</v>
      </c>
      <c r="AQ18" s="87" t="s">
        <v>160</v>
      </c>
      <c r="AV18" s="88" t="n">
        <f aca="false">ROUND(AW18+AX18,2)</f>
        <v>0</v>
      </c>
      <c r="AW18" s="88" t="n">
        <f aca="false">ROUND(G18*AO18,2)</f>
        <v>0</v>
      </c>
      <c r="AX18" s="88" t="n">
        <f aca="false">ROUND(G18*AP18,2)</f>
        <v>0</v>
      </c>
      <c r="AY18" s="87" t="s">
        <v>611</v>
      </c>
      <c r="AZ18" s="87" t="s">
        <v>612</v>
      </c>
      <c r="BA18" s="116" t="s">
        <v>613</v>
      </c>
      <c r="BC18" s="88" t="n">
        <f aca="false">AW18+AX18</f>
        <v>0</v>
      </c>
      <c r="BD18" s="88" t="n">
        <f aca="false">H18/(100-BE18)*100</f>
        <v>0</v>
      </c>
      <c r="BE18" s="88" t="n">
        <v>0</v>
      </c>
      <c r="BF18" s="88" t="n">
        <f aca="false">M18</f>
        <v>0</v>
      </c>
      <c r="BH18" s="88" t="n">
        <f aca="false">G18*AO18</f>
        <v>0</v>
      </c>
      <c r="BI18" s="88" t="n">
        <f aca="false">G18*AP18</f>
        <v>0</v>
      </c>
      <c r="BJ18" s="88" t="n">
        <f aca="false">G18*H18</f>
        <v>0</v>
      </c>
      <c r="BK18" s="87" t="s">
        <v>159</v>
      </c>
      <c r="BL18" s="88"/>
      <c r="BW18" s="88" t="n">
        <v>21</v>
      </c>
      <c r="BX18" s="9" t="s">
        <v>621</v>
      </c>
    </row>
    <row r="19" customFormat="false" ht="15" hidden="false" customHeight="true" outlineLevel="0" collapsed="false">
      <c r="A19" s="134" t="s">
        <v>173</v>
      </c>
      <c r="B19" s="134" t="s">
        <v>113</v>
      </c>
      <c r="C19" s="134" t="s">
        <v>609</v>
      </c>
      <c r="D19" s="135" t="s">
        <v>623</v>
      </c>
      <c r="E19" s="135"/>
      <c r="F19" s="134" t="s">
        <v>163</v>
      </c>
      <c r="G19" s="136" t="n">
        <f aca="false">'Stavební rozpočet'!G183</f>
        <v>5</v>
      </c>
      <c r="H19" s="137" t="n">
        <f aca="false">'Stavební rozpočet'!H183</f>
        <v>0</v>
      </c>
      <c r="I19" s="137" t="n">
        <f aca="false">ROUND(G19*AO19,2)</f>
        <v>0</v>
      </c>
      <c r="J19" s="137" t="n">
        <f aca="false">ROUND(G19*AP19,2)</f>
        <v>0</v>
      </c>
      <c r="K19" s="137" t="n">
        <f aca="false">ROUND(G19*H19,2)</f>
        <v>0</v>
      </c>
      <c r="L19" s="137" t="n">
        <f aca="false">'Stavební rozpočet'!L183</f>
        <v>0</v>
      </c>
      <c r="M19" s="137" t="n">
        <f aca="false">G19*L19</f>
        <v>0</v>
      </c>
      <c r="N19" s="138" t="s">
        <v>155</v>
      </c>
      <c r="Z19" s="88" t="n">
        <f aca="false">ROUND(IF(AQ19="5",BJ19,0),2)</f>
        <v>0</v>
      </c>
      <c r="AB19" s="88" t="n">
        <f aca="false">ROUND(IF(AQ19="1",BH19,0),2)</f>
        <v>0</v>
      </c>
      <c r="AC19" s="88" t="n">
        <f aca="false">ROUND(IF(AQ19="1",BI19,0),2)</f>
        <v>0</v>
      </c>
      <c r="AD19" s="88" t="n">
        <f aca="false">ROUND(IF(AQ19="7",BH19,0),2)</f>
        <v>0</v>
      </c>
      <c r="AE19" s="88" t="n">
        <f aca="false">ROUND(IF(AQ19="7",BI19,0),2)</f>
        <v>0</v>
      </c>
      <c r="AF19" s="88" t="n">
        <f aca="false">ROUND(IF(AQ19="2",BH19,0),2)</f>
        <v>0</v>
      </c>
      <c r="AG19" s="88" t="n">
        <f aca="false">ROUND(IF(AQ19="2",BI19,0),2)</f>
        <v>0</v>
      </c>
      <c r="AH19" s="88" t="n">
        <f aca="false">ROUND(IF(AQ19="0",BJ19,0),2)</f>
        <v>0</v>
      </c>
      <c r="AI19" s="116" t="s">
        <v>113</v>
      </c>
      <c r="AJ19" s="88" t="n">
        <f aca="false">IF(AN19=0,K19,0)</f>
        <v>0</v>
      </c>
      <c r="AK19" s="88" t="n">
        <f aca="false">IF(AN19=12,K19,0)</f>
        <v>0</v>
      </c>
      <c r="AL19" s="88" t="n">
        <f aca="false">IF(AN19=21,K19,0)</f>
        <v>0</v>
      </c>
      <c r="AN19" s="88" t="n">
        <v>21</v>
      </c>
      <c r="AO19" s="88" t="n">
        <f aca="false">H19*0</f>
        <v>0</v>
      </c>
      <c r="AP19" s="88" t="n">
        <f aca="false">H19*(1-0)</f>
        <v>0</v>
      </c>
      <c r="AQ19" s="87" t="s">
        <v>160</v>
      </c>
      <c r="AV19" s="88" t="n">
        <f aca="false">ROUND(AW19+AX19,2)</f>
        <v>0</v>
      </c>
      <c r="AW19" s="88" t="n">
        <f aca="false">ROUND(G19*AO19,2)</f>
        <v>0</v>
      </c>
      <c r="AX19" s="88" t="n">
        <f aca="false">ROUND(G19*AP19,2)</f>
        <v>0</v>
      </c>
      <c r="AY19" s="87" t="s">
        <v>611</v>
      </c>
      <c r="AZ19" s="87" t="s">
        <v>612</v>
      </c>
      <c r="BA19" s="116" t="s">
        <v>613</v>
      </c>
      <c r="BC19" s="88" t="n">
        <f aca="false">AW19+AX19</f>
        <v>0</v>
      </c>
      <c r="BD19" s="88" t="n">
        <f aca="false">H19/(100-BE19)*100</f>
        <v>0</v>
      </c>
      <c r="BE19" s="88" t="n">
        <v>0</v>
      </c>
      <c r="BF19" s="88" t="n">
        <f aca="false">M19</f>
        <v>0</v>
      </c>
      <c r="BH19" s="88" t="n">
        <f aca="false">G19*AO19</f>
        <v>0</v>
      </c>
      <c r="BI19" s="88" t="n">
        <f aca="false">G19*AP19</f>
        <v>0</v>
      </c>
      <c r="BJ19" s="88" t="n">
        <f aca="false">G19*H19</f>
        <v>0</v>
      </c>
      <c r="BK19" s="87" t="s">
        <v>159</v>
      </c>
      <c r="BL19" s="88"/>
      <c r="BW19" s="88" t="n">
        <v>21</v>
      </c>
      <c r="BX19" s="9" t="s">
        <v>623</v>
      </c>
    </row>
    <row r="20" customFormat="false" ht="23.85" hidden="false" customHeight="true" outlineLevel="0" collapsed="false">
      <c r="A20" s="134" t="s">
        <v>176</v>
      </c>
      <c r="B20" s="134" t="s">
        <v>113</v>
      </c>
      <c r="C20" s="134" t="s">
        <v>609</v>
      </c>
      <c r="D20" s="135" t="s">
        <v>625</v>
      </c>
      <c r="E20" s="135"/>
      <c r="F20" s="134" t="s">
        <v>163</v>
      </c>
      <c r="G20" s="136" t="n">
        <f aca="false">'Stavební rozpočet'!G184</f>
        <v>15</v>
      </c>
      <c r="H20" s="137" t="n">
        <f aca="false">'Stavební rozpočet'!H184</f>
        <v>0</v>
      </c>
      <c r="I20" s="137" t="n">
        <f aca="false">ROUND(G20*AO20,2)</f>
        <v>0</v>
      </c>
      <c r="J20" s="137" t="n">
        <f aca="false">ROUND(G20*AP20,2)</f>
        <v>0</v>
      </c>
      <c r="K20" s="137" t="n">
        <f aca="false">ROUND(G20*H20,2)</f>
        <v>0</v>
      </c>
      <c r="L20" s="137" t="n">
        <f aca="false">'Stavební rozpočet'!L184</f>
        <v>0</v>
      </c>
      <c r="M20" s="137" t="n">
        <f aca="false">G20*L20</f>
        <v>0</v>
      </c>
      <c r="N20" s="138" t="s">
        <v>155</v>
      </c>
      <c r="Z20" s="88" t="n">
        <f aca="false">ROUND(IF(AQ20="5",BJ20,0),2)</f>
        <v>0</v>
      </c>
      <c r="AB20" s="88" t="n">
        <f aca="false">ROUND(IF(AQ20="1",BH20,0),2)</f>
        <v>0</v>
      </c>
      <c r="AC20" s="88" t="n">
        <f aca="false">ROUND(IF(AQ20="1",BI20,0),2)</f>
        <v>0</v>
      </c>
      <c r="AD20" s="88" t="n">
        <f aca="false">ROUND(IF(AQ20="7",BH20,0),2)</f>
        <v>0</v>
      </c>
      <c r="AE20" s="88" t="n">
        <f aca="false">ROUND(IF(AQ20="7",BI20,0),2)</f>
        <v>0</v>
      </c>
      <c r="AF20" s="88" t="n">
        <f aca="false">ROUND(IF(AQ20="2",BH20,0),2)</f>
        <v>0</v>
      </c>
      <c r="AG20" s="88" t="n">
        <f aca="false">ROUND(IF(AQ20="2",BI20,0),2)</f>
        <v>0</v>
      </c>
      <c r="AH20" s="88" t="n">
        <f aca="false">ROUND(IF(AQ20="0",BJ20,0),2)</f>
        <v>0</v>
      </c>
      <c r="AI20" s="116" t="s">
        <v>113</v>
      </c>
      <c r="AJ20" s="88" t="n">
        <f aca="false">IF(AN20=0,K20,0)</f>
        <v>0</v>
      </c>
      <c r="AK20" s="88" t="n">
        <f aca="false">IF(AN20=12,K20,0)</f>
        <v>0</v>
      </c>
      <c r="AL20" s="88" t="n">
        <f aca="false">IF(AN20=21,K20,0)</f>
        <v>0</v>
      </c>
      <c r="AN20" s="88" t="n">
        <v>21</v>
      </c>
      <c r="AO20" s="88" t="n">
        <f aca="false">H20*0</f>
        <v>0</v>
      </c>
      <c r="AP20" s="88" t="n">
        <f aca="false">H20*(1-0)</f>
        <v>0</v>
      </c>
      <c r="AQ20" s="87" t="s">
        <v>160</v>
      </c>
      <c r="AV20" s="88" t="n">
        <f aca="false">ROUND(AW20+AX20,2)</f>
        <v>0</v>
      </c>
      <c r="AW20" s="88" t="n">
        <f aca="false">ROUND(G20*AO20,2)</f>
        <v>0</v>
      </c>
      <c r="AX20" s="88" t="n">
        <f aca="false">ROUND(G20*AP20,2)</f>
        <v>0</v>
      </c>
      <c r="AY20" s="87" t="s">
        <v>611</v>
      </c>
      <c r="AZ20" s="87" t="s">
        <v>612</v>
      </c>
      <c r="BA20" s="116" t="s">
        <v>613</v>
      </c>
      <c r="BC20" s="88" t="n">
        <f aca="false">AW20+AX20</f>
        <v>0</v>
      </c>
      <c r="BD20" s="88" t="n">
        <f aca="false">H20/(100-BE20)*100</f>
        <v>0</v>
      </c>
      <c r="BE20" s="88" t="n">
        <v>0</v>
      </c>
      <c r="BF20" s="88" t="n">
        <f aca="false">M20</f>
        <v>0</v>
      </c>
      <c r="BH20" s="88" t="n">
        <f aca="false">G20*AO20</f>
        <v>0</v>
      </c>
      <c r="BI20" s="88" t="n">
        <f aca="false">G20*AP20</f>
        <v>0</v>
      </c>
      <c r="BJ20" s="88" t="n">
        <f aca="false">G20*H20</f>
        <v>0</v>
      </c>
      <c r="BK20" s="87" t="s">
        <v>159</v>
      </c>
      <c r="BL20" s="88"/>
      <c r="BW20" s="88" t="n">
        <v>21</v>
      </c>
      <c r="BX20" s="9" t="s">
        <v>625</v>
      </c>
    </row>
    <row r="21" customFormat="false" ht="23.85" hidden="false" customHeight="true" outlineLevel="0" collapsed="false">
      <c r="A21" s="134" t="s">
        <v>181</v>
      </c>
      <c r="B21" s="134" t="s">
        <v>113</v>
      </c>
      <c r="C21" s="134" t="s">
        <v>627</v>
      </c>
      <c r="D21" s="135" t="s">
        <v>628</v>
      </c>
      <c r="E21" s="135"/>
      <c r="F21" s="134" t="s">
        <v>79</v>
      </c>
      <c r="G21" s="136" t="n">
        <f aca="false">'Stavební rozpočet'!G185</f>
        <v>0</v>
      </c>
      <c r="H21" s="137" t="n">
        <f aca="false">'Stavební rozpočet'!H185</f>
        <v>0</v>
      </c>
      <c r="I21" s="137" t="n">
        <f aca="false">ROUND(G21*AO21,2)</f>
        <v>0</v>
      </c>
      <c r="J21" s="137" t="n">
        <f aca="false">ROUND(G21*AP21,2)</f>
        <v>0</v>
      </c>
      <c r="K21" s="137" t="n">
        <f aca="false">ROUND(G21*H21,2)</f>
        <v>0</v>
      </c>
      <c r="L21" s="137" t="n">
        <f aca="false">'Stavební rozpočet'!L185</f>
        <v>0</v>
      </c>
      <c r="M21" s="137" t="n">
        <f aca="false">G21*L21</f>
        <v>0</v>
      </c>
      <c r="N21" s="138"/>
      <c r="Z21" s="88" t="n">
        <f aca="false">ROUND(IF(AQ21="5",BJ21,0),2)</f>
        <v>0</v>
      </c>
      <c r="AB21" s="88" t="n">
        <f aca="false">ROUND(IF(AQ21="1",BH21,0),2)</f>
        <v>0</v>
      </c>
      <c r="AC21" s="88" t="n">
        <f aca="false">ROUND(IF(AQ21="1",BI21,0),2)</f>
        <v>0</v>
      </c>
      <c r="AD21" s="88" t="n">
        <f aca="false">ROUND(IF(AQ21="7",BH21,0),2)</f>
        <v>0</v>
      </c>
      <c r="AE21" s="88" t="n">
        <f aca="false">ROUND(IF(AQ21="7",BI21,0),2)</f>
        <v>0</v>
      </c>
      <c r="AF21" s="88" t="n">
        <f aca="false">ROUND(IF(AQ21="2",BH21,0),2)</f>
        <v>0</v>
      </c>
      <c r="AG21" s="88" t="n">
        <f aca="false">ROUND(IF(AQ21="2",BI21,0),2)</f>
        <v>0</v>
      </c>
      <c r="AH21" s="88" t="n">
        <f aca="false">ROUND(IF(AQ21="0",BJ21,0),2)</f>
        <v>0</v>
      </c>
      <c r="AI21" s="116" t="s">
        <v>113</v>
      </c>
      <c r="AJ21" s="88" t="n">
        <f aca="false">IF(AN21=0,K21,0)</f>
        <v>0</v>
      </c>
      <c r="AK21" s="88" t="n">
        <f aca="false">IF(AN21=12,K21,0)</f>
        <v>0</v>
      </c>
      <c r="AL21" s="88" t="n">
        <f aca="false">IF(AN21=21,K21,0)</f>
        <v>0</v>
      </c>
      <c r="AN21" s="88" t="n">
        <v>21</v>
      </c>
      <c r="AO21" s="88" t="n">
        <f aca="false">H21*0</f>
        <v>0</v>
      </c>
      <c r="AP21" s="88" t="n">
        <f aca="false">H21*(1-0)</f>
        <v>0</v>
      </c>
      <c r="AQ21" s="87" t="s">
        <v>160</v>
      </c>
      <c r="AV21" s="88" t="n">
        <f aca="false">ROUND(AW21+AX21,2)</f>
        <v>0</v>
      </c>
      <c r="AW21" s="88" t="n">
        <f aca="false">ROUND(G21*AO21,2)</f>
        <v>0</v>
      </c>
      <c r="AX21" s="88" t="n">
        <f aca="false">ROUND(G21*AP21,2)</f>
        <v>0</v>
      </c>
      <c r="AY21" s="87" t="s">
        <v>611</v>
      </c>
      <c r="AZ21" s="87" t="s">
        <v>612</v>
      </c>
      <c r="BA21" s="116" t="s">
        <v>613</v>
      </c>
      <c r="BC21" s="88" t="n">
        <f aca="false">AW21+AX21</f>
        <v>0</v>
      </c>
      <c r="BD21" s="88" t="n">
        <f aca="false">H21/(100-BE21)*100</f>
        <v>0</v>
      </c>
      <c r="BE21" s="88" t="n">
        <v>0</v>
      </c>
      <c r="BF21" s="88" t="n">
        <f aca="false">M21</f>
        <v>0</v>
      </c>
      <c r="BH21" s="88" t="n">
        <f aca="false">G21*AO21</f>
        <v>0</v>
      </c>
      <c r="BI21" s="88" t="n">
        <f aca="false">G21*AP21</f>
        <v>0</v>
      </c>
      <c r="BJ21" s="88" t="n">
        <f aca="false">G21*H21</f>
        <v>0</v>
      </c>
      <c r="BK21" s="87" t="s">
        <v>159</v>
      </c>
      <c r="BL21" s="88"/>
      <c r="BW21" s="88" t="n">
        <v>21</v>
      </c>
      <c r="BX21" s="9" t="s">
        <v>628</v>
      </c>
    </row>
    <row r="22" customFormat="false" ht="23.85" hidden="false" customHeight="true" outlineLevel="0" collapsed="false">
      <c r="A22" s="134" t="s">
        <v>186</v>
      </c>
      <c r="B22" s="134" t="s">
        <v>113</v>
      </c>
      <c r="C22" s="134" t="s">
        <v>630</v>
      </c>
      <c r="D22" s="135" t="s">
        <v>631</v>
      </c>
      <c r="E22" s="135"/>
      <c r="F22" s="134" t="s">
        <v>79</v>
      </c>
      <c r="G22" s="136" t="n">
        <f aca="false">'Stavební rozpočet'!G186</f>
        <v>0</v>
      </c>
      <c r="H22" s="137" t="n">
        <f aca="false">'Stavební rozpočet'!H186</f>
        <v>0</v>
      </c>
      <c r="I22" s="137" t="n">
        <f aca="false">ROUND(G22*AO22,2)</f>
        <v>0</v>
      </c>
      <c r="J22" s="137" t="n">
        <f aca="false">ROUND(G22*AP22,2)</f>
        <v>0</v>
      </c>
      <c r="K22" s="137" t="n">
        <f aca="false">ROUND(G22*H22,2)</f>
        <v>0</v>
      </c>
      <c r="L22" s="137" t="n">
        <f aca="false">'Stavební rozpočet'!L186</f>
        <v>0</v>
      </c>
      <c r="M22" s="137" t="n">
        <f aca="false">G22*L22</f>
        <v>0</v>
      </c>
      <c r="N22" s="138"/>
      <c r="Z22" s="88" t="n">
        <f aca="false">ROUND(IF(AQ22="5",BJ22,0),2)</f>
        <v>0</v>
      </c>
      <c r="AB22" s="88" t="n">
        <f aca="false">ROUND(IF(AQ22="1",BH22,0),2)</f>
        <v>0</v>
      </c>
      <c r="AC22" s="88" t="n">
        <f aca="false">ROUND(IF(AQ22="1",BI22,0),2)</f>
        <v>0</v>
      </c>
      <c r="AD22" s="88" t="n">
        <f aca="false">ROUND(IF(AQ22="7",BH22,0),2)</f>
        <v>0</v>
      </c>
      <c r="AE22" s="88" t="n">
        <f aca="false">ROUND(IF(AQ22="7",BI22,0),2)</f>
        <v>0</v>
      </c>
      <c r="AF22" s="88" t="n">
        <f aca="false">ROUND(IF(AQ22="2",BH22,0),2)</f>
        <v>0</v>
      </c>
      <c r="AG22" s="88" t="n">
        <f aca="false">ROUND(IF(AQ22="2",BI22,0),2)</f>
        <v>0</v>
      </c>
      <c r="AH22" s="88" t="n">
        <f aca="false">ROUND(IF(AQ22="0",BJ22,0),2)</f>
        <v>0</v>
      </c>
      <c r="AI22" s="116" t="s">
        <v>113</v>
      </c>
      <c r="AJ22" s="88" t="n">
        <f aca="false">IF(AN22=0,K22,0)</f>
        <v>0</v>
      </c>
      <c r="AK22" s="88" t="n">
        <f aca="false">IF(AN22=12,K22,0)</f>
        <v>0</v>
      </c>
      <c r="AL22" s="88" t="n">
        <f aca="false">IF(AN22=21,K22,0)</f>
        <v>0</v>
      </c>
      <c r="AN22" s="88" t="n">
        <v>21</v>
      </c>
      <c r="AO22" s="88" t="n">
        <f aca="false">H22*0</f>
        <v>0</v>
      </c>
      <c r="AP22" s="88" t="n">
        <f aca="false">H22*(1-0)</f>
        <v>0</v>
      </c>
      <c r="AQ22" s="87" t="s">
        <v>160</v>
      </c>
      <c r="AV22" s="88" t="n">
        <f aca="false">ROUND(AW22+AX22,2)</f>
        <v>0</v>
      </c>
      <c r="AW22" s="88" t="n">
        <f aca="false">ROUND(G22*AO22,2)</f>
        <v>0</v>
      </c>
      <c r="AX22" s="88" t="n">
        <f aca="false">ROUND(G22*AP22,2)</f>
        <v>0</v>
      </c>
      <c r="AY22" s="87" t="s">
        <v>611</v>
      </c>
      <c r="AZ22" s="87" t="s">
        <v>612</v>
      </c>
      <c r="BA22" s="116" t="s">
        <v>613</v>
      </c>
      <c r="BC22" s="88" t="n">
        <f aca="false">AW22+AX22</f>
        <v>0</v>
      </c>
      <c r="BD22" s="88" t="n">
        <f aca="false">H22/(100-BE22)*100</f>
        <v>0</v>
      </c>
      <c r="BE22" s="88" t="n">
        <v>0</v>
      </c>
      <c r="BF22" s="88" t="n">
        <f aca="false">M22</f>
        <v>0</v>
      </c>
      <c r="BH22" s="88" t="n">
        <f aca="false">G22*AO22</f>
        <v>0</v>
      </c>
      <c r="BI22" s="88" t="n">
        <f aca="false">G22*AP22</f>
        <v>0</v>
      </c>
      <c r="BJ22" s="88" t="n">
        <f aca="false">G22*H22</f>
        <v>0</v>
      </c>
      <c r="BK22" s="87" t="s">
        <v>159</v>
      </c>
      <c r="BL22" s="88"/>
      <c r="BW22" s="88" t="n">
        <v>21</v>
      </c>
      <c r="BX22" s="9" t="s">
        <v>631</v>
      </c>
    </row>
    <row r="23" customFormat="false" ht="23.85" hidden="false" customHeight="true" outlineLevel="0" collapsed="false">
      <c r="A23" s="134" t="s">
        <v>192</v>
      </c>
      <c r="B23" s="134" t="s">
        <v>113</v>
      </c>
      <c r="C23" s="134" t="s">
        <v>633</v>
      </c>
      <c r="D23" s="135" t="s">
        <v>634</v>
      </c>
      <c r="E23" s="135"/>
      <c r="F23" s="134" t="s">
        <v>635</v>
      </c>
      <c r="G23" s="136" t="n">
        <f aca="false">'Stavební rozpočet'!G187</f>
        <v>1</v>
      </c>
      <c r="H23" s="137" t="n">
        <f aca="false">'Stavební rozpočet'!H187</f>
        <v>0</v>
      </c>
      <c r="I23" s="137" t="n">
        <f aca="false">ROUND(G23*AO23,2)</f>
        <v>0</v>
      </c>
      <c r="J23" s="137" t="n">
        <f aca="false">ROUND(G23*AP23,2)</f>
        <v>0</v>
      </c>
      <c r="K23" s="137" t="n">
        <f aca="false">ROUND(G23*H23,2)</f>
        <v>0</v>
      </c>
      <c r="L23" s="137" t="n">
        <f aca="false">'Stavební rozpočet'!L187</f>
        <v>0</v>
      </c>
      <c r="M23" s="137" t="n">
        <f aca="false">G23*L23</f>
        <v>0</v>
      </c>
      <c r="N23" s="138"/>
      <c r="Z23" s="88" t="n">
        <f aca="false">ROUND(IF(AQ23="5",BJ23,0),2)</f>
        <v>0</v>
      </c>
      <c r="AB23" s="88" t="n">
        <f aca="false">ROUND(IF(AQ23="1",BH23,0),2)</f>
        <v>0</v>
      </c>
      <c r="AC23" s="88" t="n">
        <f aca="false">ROUND(IF(AQ23="1",BI23,0),2)</f>
        <v>0</v>
      </c>
      <c r="AD23" s="88" t="n">
        <f aca="false">ROUND(IF(AQ23="7",BH23,0),2)</f>
        <v>0</v>
      </c>
      <c r="AE23" s="88" t="n">
        <f aca="false">ROUND(IF(AQ23="7",BI23,0),2)</f>
        <v>0</v>
      </c>
      <c r="AF23" s="88" t="n">
        <f aca="false">ROUND(IF(AQ23="2",BH23,0),2)</f>
        <v>0</v>
      </c>
      <c r="AG23" s="88" t="n">
        <f aca="false">ROUND(IF(AQ23="2",BI23,0),2)</f>
        <v>0</v>
      </c>
      <c r="AH23" s="88" t="n">
        <f aca="false">ROUND(IF(AQ23="0",BJ23,0),2)</f>
        <v>0</v>
      </c>
      <c r="AI23" s="116" t="s">
        <v>113</v>
      </c>
      <c r="AJ23" s="88" t="n">
        <f aca="false">IF(AN23=0,K23,0)</f>
        <v>0</v>
      </c>
      <c r="AK23" s="88" t="n">
        <f aca="false">IF(AN23=12,K23,0)</f>
        <v>0</v>
      </c>
      <c r="AL23" s="88" t="n">
        <f aca="false">IF(AN23=21,K23,0)</f>
        <v>0</v>
      </c>
      <c r="AN23" s="88" t="n">
        <v>21</v>
      </c>
      <c r="AO23" s="88" t="n">
        <f aca="false">H23*0</f>
        <v>0</v>
      </c>
      <c r="AP23" s="88" t="n">
        <f aca="false">H23*(1-0)</f>
        <v>0</v>
      </c>
      <c r="AQ23" s="87" t="s">
        <v>160</v>
      </c>
      <c r="AV23" s="88" t="n">
        <f aca="false">ROUND(AW23+AX23,2)</f>
        <v>0</v>
      </c>
      <c r="AW23" s="88" t="n">
        <f aca="false">ROUND(G23*AO23,2)</f>
        <v>0</v>
      </c>
      <c r="AX23" s="88" t="n">
        <f aca="false">ROUND(G23*AP23,2)</f>
        <v>0</v>
      </c>
      <c r="AY23" s="87" t="s">
        <v>611</v>
      </c>
      <c r="AZ23" s="87" t="s">
        <v>612</v>
      </c>
      <c r="BA23" s="116" t="s">
        <v>613</v>
      </c>
      <c r="BC23" s="88" t="n">
        <f aca="false">AW23+AX23</f>
        <v>0</v>
      </c>
      <c r="BD23" s="88" t="n">
        <f aca="false">H23/(100-BE23)*100</f>
        <v>0</v>
      </c>
      <c r="BE23" s="88" t="n">
        <v>0</v>
      </c>
      <c r="BF23" s="88" t="n">
        <f aca="false">M23</f>
        <v>0</v>
      </c>
      <c r="BH23" s="88" t="n">
        <f aca="false">G23*AO23</f>
        <v>0</v>
      </c>
      <c r="BI23" s="88" t="n">
        <f aca="false">G23*AP23</f>
        <v>0</v>
      </c>
      <c r="BJ23" s="88" t="n">
        <f aca="false">G23*H23</f>
        <v>0</v>
      </c>
      <c r="BK23" s="87" t="s">
        <v>159</v>
      </c>
      <c r="BL23" s="88"/>
      <c r="BW23" s="88" t="n">
        <v>21</v>
      </c>
      <c r="BX23" s="9" t="s">
        <v>634</v>
      </c>
    </row>
    <row r="24" customFormat="false" ht="19.85" hidden="false" customHeight="true" outlineLevel="0" collapsed="false">
      <c r="I24" s="101" t="s">
        <v>114</v>
      </c>
      <c r="J24" s="101"/>
      <c r="K24" s="167" t="n">
        <f aca="false">ROUND(SUM(K13),1)</f>
        <v>0</v>
      </c>
    </row>
    <row r="25" customFormat="false" ht="15" hidden="false" customHeight="false" outlineLevel="0" collapsed="false">
      <c r="A25" s="1"/>
    </row>
    <row r="26" customFormat="false" ht="15" hidden="true" customHeight="false" outlineLevel="0" collapsed="false">
      <c r="A26" s="9"/>
      <c r="B26" s="9"/>
      <c r="C26" s="9"/>
      <c r="D26" s="9"/>
      <c r="E26" s="9"/>
      <c r="F26" s="9"/>
      <c r="G26" s="9"/>
      <c r="H26" s="9"/>
      <c r="I26" s="9"/>
      <c r="J26" s="9"/>
      <c r="K26" s="9"/>
      <c r="L26" s="9"/>
      <c r="M26" s="9"/>
      <c r="N26" s="9"/>
    </row>
  </sheetData>
  <mergeCells count="43">
    <mergeCell ref="A1:N1"/>
    <mergeCell ref="A2:C3"/>
    <mergeCell ref="D2:E3"/>
    <mergeCell ref="F2:G3"/>
    <mergeCell ref="H2:H3"/>
    <mergeCell ref="I2:I3"/>
    <mergeCell ref="J2:N3"/>
    <mergeCell ref="A4:C5"/>
    <mergeCell ref="D4:E5"/>
    <mergeCell ref="F4:G5"/>
    <mergeCell ref="H4:H5"/>
    <mergeCell ref="I4:I5"/>
    <mergeCell ref="J4:N5"/>
    <mergeCell ref="A6:C7"/>
    <mergeCell ref="D6:E7"/>
    <mergeCell ref="F6:G7"/>
    <mergeCell ref="H6:H7"/>
    <mergeCell ref="I6:I7"/>
    <mergeCell ref="J6:N7"/>
    <mergeCell ref="A8:C9"/>
    <mergeCell ref="D8:E9"/>
    <mergeCell ref="F8:G9"/>
    <mergeCell ref="H8:H9"/>
    <mergeCell ref="I8:I9"/>
    <mergeCell ref="J8:N9"/>
    <mergeCell ref="D10:E10"/>
    <mergeCell ref="I10:K10"/>
    <mergeCell ref="L10:M10"/>
    <mergeCell ref="D11:E11"/>
    <mergeCell ref="D12:E12"/>
    <mergeCell ref="D13:E13"/>
    <mergeCell ref="D14:E14"/>
    <mergeCell ref="D15:E15"/>
    <mergeCell ref="D16:E16"/>
    <mergeCell ref="D17:E17"/>
    <mergeCell ref="D18:E18"/>
    <mergeCell ref="D19:E19"/>
    <mergeCell ref="D20:E20"/>
    <mergeCell ref="D21:E21"/>
    <mergeCell ref="D22:E22"/>
    <mergeCell ref="D23:E23"/>
    <mergeCell ref="I24:J24"/>
    <mergeCell ref="A26:N26"/>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932CC"/>
    <pageSetUpPr fitToPage="true"/>
  </sheetPr>
  <dimension ref="A1:H3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27" activeCellId="0" sqref="E27"/>
    </sheetView>
  </sheetViews>
  <sheetFormatPr defaultColWidth="12.1484375" defaultRowHeight="15" customHeight="true" zeroHeight="false" outlineLevelRow="0" outlineLevelCol="0"/>
  <cols>
    <col collapsed="false" customWidth="true" hidden="false" outlineLevel="0" max="1" min="1" style="22" width="5.63"/>
    <col collapsed="false" customWidth="true" hidden="false" outlineLevel="0" max="2" min="2" style="22" width="9.14"/>
    <col collapsed="false" customWidth="true" hidden="false" outlineLevel="0" max="3" min="3" style="22" width="14.29"/>
    <col collapsed="false" customWidth="true" hidden="false" outlineLevel="0" max="4" min="4" style="103" width="42.86"/>
    <col collapsed="false" customWidth="true" hidden="false" outlineLevel="0" max="5" min="5" style="22" width="53.66"/>
    <col collapsed="false" customWidth="true" hidden="false" outlineLevel="0" max="6" min="6" style="22" width="24.14"/>
    <col collapsed="false" customWidth="true" hidden="false" outlineLevel="0" max="7" min="7" style="22" width="15.71"/>
    <col collapsed="false" customWidth="true" hidden="false" outlineLevel="0" max="8" min="8" style="22" width="20"/>
  </cols>
  <sheetData>
    <row r="1" customFormat="false" ht="39.7" hidden="false" customHeight="true" outlineLevel="0" collapsed="false">
      <c r="A1" s="106" t="s">
        <v>796</v>
      </c>
      <c r="B1" s="106"/>
      <c r="C1" s="106"/>
      <c r="D1" s="106"/>
      <c r="E1" s="106"/>
      <c r="F1" s="106"/>
      <c r="G1" s="106"/>
      <c r="H1" s="106"/>
    </row>
    <row r="2" customFormat="false" ht="15" hidden="false" customHeight="true" outlineLevel="0" collapsed="false">
      <c r="A2" s="3" t="s">
        <v>1</v>
      </c>
      <c r="B2" s="3"/>
      <c r="C2" s="4" t="str">
        <f aca="false">'Stavební rozpočet'!C2</f>
        <v>Přeměna sídlištních ploch – II. Etapa _ Fontána Jablko</v>
      </c>
      <c r="D2" s="4"/>
      <c r="E2" s="5" t="s">
        <v>2</v>
      </c>
      <c r="F2" s="73" t="str">
        <f aca="false">'Stavební rozpočet'!I2</f>
        <v>Městská část Praha 12, Generála Šišky 2375/6, 143</v>
      </c>
      <c r="G2" s="73"/>
      <c r="H2" s="73"/>
    </row>
    <row r="3" customFormat="false" ht="15" hidden="false" customHeight="false" outlineLevel="0" collapsed="false">
      <c r="A3" s="3"/>
      <c r="B3" s="3"/>
      <c r="C3" s="4"/>
      <c r="D3" s="4"/>
      <c r="E3" s="5"/>
      <c r="F3" s="5"/>
      <c r="G3" s="73"/>
      <c r="H3" s="73"/>
    </row>
    <row r="4" customFormat="false" ht="15" hidden="false" customHeight="true" outlineLevel="0" collapsed="false">
      <c r="A4" s="8" t="s">
        <v>5</v>
      </c>
      <c r="B4" s="8"/>
      <c r="C4" s="9" t="str">
        <f aca="false">'Stavební rozpočet'!C4</f>
        <v>Stavební úpravy veřejného prostranství _Fontána Jablko</v>
      </c>
      <c r="D4" s="9"/>
      <c r="E4" s="9" t="s">
        <v>6</v>
      </c>
      <c r="F4" s="74" t="str">
        <f aca="false">'Stavební rozpočet'!I4</f>
        <v>HUA HUA ARCHITECTS s.r.o., Porážka 459/2, 602 00 Brno</v>
      </c>
      <c r="G4" s="74"/>
      <c r="H4" s="74"/>
    </row>
    <row r="5" customFormat="false" ht="15" hidden="false" customHeight="false" outlineLevel="0" collapsed="false">
      <c r="A5" s="8"/>
      <c r="B5" s="8"/>
      <c r="C5" s="9"/>
      <c r="D5" s="9"/>
      <c r="E5" s="9"/>
      <c r="F5" s="9"/>
      <c r="G5" s="74"/>
      <c r="H5" s="74"/>
    </row>
    <row r="6" customFormat="false" ht="15" hidden="false" customHeight="true" outlineLevel="0" collapsed="false">
      <c r="A6" s="8" t="s">
        <v>8</v>
      </c>
      <c r="B6" s="8"/>
      <c r="C6" s="9" t="str">
        <f aca="false">'Stavební rozpočet'!C6</f>
        <v>Praha (554782),Modřany (728616), par.č. 4400/448</v>
      </c>
      <c r="D6" s="9"/>
      <c r="E6" s="9" t="s">
        <v>9</v>
      </c>
      <c r="F6" s="74" t="str">
        <f aca="false">'Stavební rozpočet'!I6</f>
        <v> </v>
      </c>
      <c r="G6" s="74"/>
      <c r="H6" s="74"/>
    </row>
    <row r="7" customFormat="false" ht="15" hidden="false" customHeight="false" outlineLevel="0" collapsed="false">
      <c r="A7" s="8"/>
      <c r="B7" s="8"/>
      <c r="C7" s="9"/>
      <c r="D7" s="9"/>
      <c r="E7" s="9"/>
      <c r="F7" s="9"/>
      <c r="G7" s="74"/>
      <c r="H7" s="74"/>
    </row>
    <row r="8" customFormat="false" ht="15" hidden="false" customHeight="true" outlineLevel="0" collapsed="false">
      <c r="A8" s="8" t="s">
        <v>14</v>
      </c>
      <c r="B8" s="8"/>
      <c r="C8" s="9" t="str">
        <f aca="false">'Stavební rozpočet'!I8</f>
        <v>Bohuslav Hemala</v>
      </c>
      <c r="D8" s="9"/>
      <c r="E8" s="9" t="s">
        <v>96</v>
      </c>
      <c r="F8" s="74" t="str">
        <f aca="false">'Stavební rozpočet'!F8</f>
        <v>08.01.2026</v>
      </c>
      <c r="G8" s="74"/>
      <c r="H8" s="74"/>
    </row>
    <row r="9" customFormat="false" ht="15" hidden="false" customHeight="false" outlineLevel="0" collapsed="false">
      <c r="A9" s="8"/>
      <c r="B9" s="8"/>
      <c r="C9" s="9"/>
      <c r="D9" s="9"/>
      <c r="E9" s="9"/>
      <c r="F9" s="9"/>
      <c r="G9" s="74"/>
      <c r="H9" s="74"/>
    </row>
    <row r="10" customFormat="false" ht="15" hidden="false" customHeight="true" outlineLevel="0" collapsed="false">
      <c r="A10" s="169" t="s">
        <v>124</v>
      </c>
      <c r="B10" s="170" t="s">
        <v>100</v>
      </c>
      <c r="C10" s="170" t="s">
        <v>125</v>
      </c>
      <c r="D10" s="171" t="s">
        <v>101</v>
      </c>
      <c r="E10" s="171"/>
      <c r="F10" s="170" t="s">
        <v>126</v>
      </c>
      <c r="G10" s="172" t="s">
        <v>127</v>
      </c>
      <c r="H10" s="173" t="s">
        <v>637</v>
      </c>
    </row>
    <row r="11" customFormat="false" ht="15" hidden="false" customHeight="true" outlineLevel="0" collapsed="false">
      <c r="A11" s="129"/>
      <c r="B11" s="129" t="s">
        <v>638</v>
      </c>
      <c r="C11" s="129" t="s">
        <v>606</v>
      </c>
      <c r="D11" s="130" t="s">
        <v>607</v>
      </c>
      <c r="E11" s="130"/>
      <c r="F11" s="129"/>
      <c r="G11" s="133"/>
      <c r="H11" s="133"/>
    </row>
    <row r="12" customFormat="false" ht="15" hidden="false" customHeight="true" outlineLevel="0" collapsed="false">
      <c r="A12" s="134" t="s">
        <v>151</v>
      </c>
      <c r="B12" s="134" t="s">
        <v>113</v>
      </c>
      <c r="C12" s="134" t="s">
        <v>609</v>
      </c>
      <c r="D12" s="135" t="s">
        <v>610</v>
      </c>
      <c r="E12" s="135"/>
      <c r="F12" s="134" t="s">
        <v>163</v>
      </c>
      <c r="G12" s="137" t="n">
        <v>16</v>
      </c>
      <c r="H12" s="137" t="n">
        <v>0</v>
      </c>
    </row>
    <row r="13" customFormat="false" ht="15" hidden="false" customHeight="false" outlineLevel="0" collapsed="false">
      <c r="A13" s="174"/>
      <c r="B13" s="174"/>
      <c r="C13" s="174"/>
      <c r="D13" s="175" t="s">
        <v>756</v>
      </c>
      <c r="E13" s="176"/>
      <c r="F13" s="176"/>
      <c r="G13" s="177" t="n">
        <v>16</v>
      </c>
      <c r="H13" s="174"/>
    </row>
    <row r="14" customFormat="false" ht="15" hidden="false" customHeight="true" outlineLevel="0" collapsed="false">
      <c r="A14" s="134" t="s">
        <v>160</v>
      </c>
      <c r="B14" s="134" t="s">
        <v>113</v>
      </c>
      <c r="C14" s="134" t="s">
        <v>609</v>
      </c>
      <c r="D14" s="135" t="s">
        <v>615</v>
      </c>
      <c r="E14" s="135"/>
      <c r="F14" s="134" t="s">
        <v>163</v>
      </c>
      <c r="G14" s="137" t="n">
        <v>25</v>
      </c>
      <c r="H14" s="137" t="n">
        <v>0</v>
      </c>
    </row>
    <row r="15" customFormat="false" ht="15" hidden="false" customHeight="false" outlineLevel="0" collapsed="false">
      <c r="A15" s="174"/>
      <c r="B15" s="174"/>
      <c r="C15" s="174"/>
      <c r="D15" s="175" t="s">
        <v>247</v>
      </c>
      <c r="E15" s="176"/>
      <c r="F15" s="176"/>
      <c r="G15" s="177" t="n">
        <v>25</v>
      </c>
      <c r="H15" s="174"/>
    </row>
    <row r="16" customFormat="false" ht="15" hidden="false" customHeight="true" outlineLevel="0" collapsed="false">
      <c r="A16" s="134" t="s">
        <v>164</v>
      </c>
      <c r="B16" s="134" t="s">
        <v>113</v>
      </c>
      <c r="C16" s="134" t="s">
        <v>609</v>
      </c>
      <c r="D16" s="135" t="s">
        <v>617</v>
      </c>
      <c r="E16" s="135"/>
      <c r="F16" s="134" t="s">
        <v>163</v>
      </c>
      <c r="G16" s="137" t="n">
        <v>3</v>
      </c>
      <c r="H16" s="137" t="n">
        <v>0</v>
      </c>
    </row>
    <row r="17" customFormat="false" ht="15" hidden="false" customHeight="false" outlineLevel="0" collapsed="false">
      <c r="A17" s="174"/>
      <c r="B17" s="174"/>
      <c r="C17" s="174"/>
      <c r="D17" s="175" t="s">
        <v>164</v>
      </c>
      <c r="E17" s="176"/>
      <c r="F17" s="176"/>
      <c r="G17" s="177" t="n">
        <v>3</v>
      </c>
      <c r="H17" s="174"/>
    </row>
    <row r="18" customFormat="false" ht="15" hidden="false" customHeight="true" outlineLevel="0" collapsed="false">
      <c r="A18" s="134" t="s">
        <v>166</v>
      </c>
      <c r="B18" s="134" t="s">
        <v>113</v>
      </c>
      <c r="C18" s="134" t="s">
        <v>609</v>
      </c>
      <c r="D18" s="135" t="s">
        <v>619</v>
      </c>
      <c r="E18" s="135"/>
      <c r="F18" s="134" t="s">
        <v>163</v>
      </c>
      <c r="G18" s="137" t="n">
        <v>20</v>
      </c>
      <c r="H18" s="137" t="n">
        <v>0</v>
      </c>
    </row>
    <row r="19" customFormat="false" ht="15" hidden="false" customHeight="false" outlineLevel="0" collapsed="false">
      <c r="A19" s="174"/>
      <c r="B19" s="174"/>
      <c r="C19" s="174"/>
      <c r="D19" s="175" t="s">
        <v>228</v>
      </c>
      <c r="E19" s="176"/>
      <c r="F19" s="176"/>
      <c r="G19" s="177" t="n">
        <v>20</v>
      </c>
      <c r="H19" s="174"/>
    </row>
    <row r="20" customFormat="false" ht="24.05" hidden="false" customHeight="true" outlineLevel="0" collapsed="false">
      <c r="A20" s="134" t="s">
        <v>170</v>
      </c>
      <c r="B20" s="134" t="s">
        <v>113</v>
      </c>
      <c r="C20" s="134" t="s">
        <v>609</v>
      </c>
      <c r="D20" s="135" t="s">
        <v>621</v>
      </c>
      <c r="E20" s="135"/>
      <c r="F20" s="134" t="s">
        <v>163</v>
      </c>
      <c r="G20" s="137" t="n">
        <v>10</v>
      </c>
      <c r="H20" s="137" t="n">
        <v>0</v>
      </c>
    </row>
    <row r="21" customFormat="false" ht="15" hidden="false" customHeight="false" outlineLevel="0" collapsed="false">
      <c r="A21" s="174"/>
      <c r="B21" s="174"/>
      <c r="C21" s="174"/>
      <c r="D21" s="175" t="s">
        <v>192</v>
      </c>
      <c r="E21" s="176"/>
      <c r="F21" s="176"/>
      <c r="G21" s="177" t="n">
        <v>10</v>
      </c>
      <c r="H21" s="174"/>
    </row>
    <row r="22" customFormat="false" ht="15" hidden="false" customHeight="true" outlineLevel="0" collapsed="false">
      <c r="A22" s="134" t="s">
        <v>173</v>
      </c>
      <c r="B22" s="134" t="s">
        <v>113</v>
      </c>
      <c r="C22" s="134" t="s">
        <v>609</v>
      </c>
      <c r="D22" s="135" t="s">
        <v>623</v>
      </c>
      <c r="E22" s="135"/>
      <c r="F22" s="134" t="s">
        <v>163</v>
      </c>
      <c r="G22" s="137" t="n">
        <v>5</v>
      </c>
      <c r="H22" s="137" t="n">
        <v>0</v>
      </c>
    </row>
    <row r="23" customFormat="false" ht="15" hidden="false" customHeight="false" outlineLevel="0" collapsed="false">
      <c r="A23" s="174"/>
      <c r="B23" s="174"/>
      <c r="C23" s="174"/>
      <c r="D23" s="175" t="s">
        <v>170</v>
      </c>
      <c r="E23" s="176"/>
      <c r="F23" s="176"/>
      <c r="G23" s="177" t="n">
        <v>5</v>
      </c>
      <c r="H23" s="174"/>
    </row>
    <row r="24" customFormat="false" ht="15" hidden="false" customHeight="true" outlineLevel="0" collapsed="false">
      <c r="A24" s="134" t="s">
        <v>176</v>
      </c>
      <c r="B24" s="134" t="s">
        <v>113</v>
      </c>
      <c r="C24" s="134" t="s">
        <v>609</v>
      </c>
      <c r="D24" s="135" t="s">
        <v>625</v>
      </c>
      <c r="E24" s="135"/>
      <c r="F24" s="134" t="s">
        <v>163</v>
      </c>
      <c r="G24" s="137" t="n">
        <v>15</v>
      </c>
      <c r="H24" s="137" t="n">
        <v>0</v>
      </c>
    </row>
    <row r="25" customFormat="false" ht="15" hidden="false" customHeight="false" outlineLevel="0" collapsed="false">
      <c r="A25" s="174"/>
      <c r="B25" s="174"/>
      <c r="C25" s="174"/>
      <c r="D25" s="175" t="s">
        <v>213</v>
      </c>
      <c r="E25" s="176"/>
      <c r="F25" s="176"/>
      <c r="G25" s="177" t="n">
        <v>15</v>
      </c>
      <c r="H25" s="174"/>
    </row>
    <row r="26" customFormat="false" ht="24.05" hidden="false" customHeight="true" outlineLevel="0" collapsed="false">
      <c r="A26" s="134" t="s">
        <v>181</v>
      </c>
      <c r="B26" s="134" t="s">
        <v>113</v>
      </c>
      <c r="C26" s="134" t="s">
        <v>627</v>
      </c>
      <c r="D26" s="135" t="s">
        <v>628</v>
      </c>
      <c r="E26" s="135"/>
      <c r="F26" s="134" t="s">
        <v>79</v>
      </c>
      <c r="G26" s="137"/>
      <c r="H26" s="137" t="n">
        <v>0</v>
      </c>
    </row>
    <row r="27" customFormat="false" ht="15" hidden="false" customHeight="false" outlineLevel="0" collapsed="false">
      <c r="A27" s="174"/>
      <c r="B27" s="174"/>
      <c r="C27" s="174"/>
      <c r="D27" s="175"/>
      <c r="E27" s="176"/>
      <c r="F27" s="176"/>
      <c r="G27" s="177"/>
      <c r="H27" s="174"/>
    </row>
    <row r="28" customFormat="false" ht="15" hidden="false" customHeight="true" outlineLevel="0" collapsed="false">
      <c r="A28" s="134" t="s">
        <v>186</v>
      </c>
      <c r="B28" s="134" t="s">
        <v>113</v>
      </c>
      <c r="C28" s="134" t="s">
        <v>630</v>
      </c>
      <c r="D28" s="135" t="s">
        <v>631</v>
      </c>
      <c r="E28" s="135"/>
      <c r="F28" s="134" t="s">
        <v>79</v>
      </c>
      <c r="G28" s="137"/>
      <c r="H28" s="137" t="n">
        <v>0</v>
      </c>
    </row>
    <row r="29" customFormat="false" ht="15" hidden="false" customHeight="false" outlineLevel="0" collapsed="false">
      <c r="A29" s="174"/>
      <c r="B29" s="174"/>
      <c r="C29" s="174"/>
      <c r="D29" s="175"/>
      <c r="E29" s="176"/>
      <c r="F29" s="176"/>
      <c r="G29" s="177"/>
      <c r="H29" s="174"/>
    </row>
    <row r="30" customFormat="false" ht="24.05" hidden="false" customHeight="true" outlineLevel="0" collapsed="false">
      <c r="A30" s="134" t="s">
        <v>192</v>
      </c>
      <c r="B30" s="134" t="s">
        <v>113</v>
      </c>
      <c r="C30" s="134" t="s">
        <v>633</v>
      </c>
      <c r="D30" s="135" t="s">
        <v>634</v>
      </c>
      <c r="E30" s="135"/>
      <c r="F30" s="134" t="s">
        <v>635</v>
      </c>
      <c r="G30" s="137" t="n">
        <v>1</v>
      </c>
      <c r="H30" s="137" t="n">
        <v>0</v>
      </c>
    </row>
    <row r="31" customFormat="false" ht="15" hidden="false" customHeight="false" outlineLevel="0" collapsed="false">
      <c r="A31" s="174"/>
      <c r="B31" s="174"/>
      <c r="C31" s="174"/>
      <c r="D31" s="175" t="s">
        <v>151</v>
      </c>
      <c r="E31" s="176"/>
      <c r="F31" s="176"/>
      <c r="G31" s="177" t="n">
        <v>1</v>
      </c>
      <c r="H31" s="174"/>
    </row>
    <row r="33" customFormat="false" ht="15" hidden="false" customHeight="false" outlineLevel="0" collapsed="false">
      <c r="A33" s="1"/>
    </row>
    <row r="34" customFormat="false" ht="6" hidden="false" customHeight="true" outlineLevel="0" collapsed="false">
      <c r="A34" s="9"/>
      <c r="B34" s="9"/>
      <c r="C34" s="9"/>
      <c r="D34" s="9"/>
      <c r="E34" s="9"/>
      <c r="F34" s="9"/>
      <c r="G34" s="9"/>
    </row>
  </sheetData>
  <mergeCells count="40">
    <mergeCell ref="A1:H1"/>
    <mergeCell ref="A2:B3"/>
    <mergeCell ref="C2:D3"/>
    <mergeCell ref="E2:E3"/>
    <mergeCell ref="F2:H3"/>
    <mergeCell ref="A4:B5"/>
    <mergeCell ref="C4:D5"/>
    <mergeCell ref="E4:E5"/>
    <mergeCell ref="F4:H5"/>
    <mergeCell ref="A6:B7"/>
    <mergeCell ref="C6:D7"/>
    <mergeCell ref="E6:E7"/>
    <mergeCell ref="F6:H7"/>
    <mergeCell ref="A8:B9"/>
    <mergeCell ref="C8:D9"/>
    <mergeCell ref="E8:E9"/>
    <mergeCell ref="F8:H9"/>
    <mergeCell ref="D10:E10"/>
    <mergeCell ref="D11:E11"/>
    <mergeCell ref="D12:E12"/>
    <mergeCell ref="E13:F13"/>
    <mergeCell ref="D14:E14"/>
    <mergeCell ref="E15:F15"/>
    <mergeCell ref="D16:E16"/>
    <mergeCell ref="E17:F17"/>
    <mergeCell ref="D18:E18"/>
    <mergeCell ref="E19:F19"/>
    <mergeCell ref="D20:E20"/>
    <mergeCell ref="E21:F21"/>
    <mergeCell ref="D22:E22"/>
    <mergeCell ref="E23:F23"/>
    <mergeCell ref="D24:E24"/>
    <mergeCell ref="E25:F25"/>
    <mergeCell ref="D26:E26"/>
    <mergeCell ref="E27:F27"/>
    <mergeCell ref="D28:E28"/>
    <mergeCell ref="E29:F29"/>
    <mergeCell ref="D30:E30"/>
    <mergeCell ref="E31:F31"/>
    <mergeCell ref="A34:G34"/>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I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6" activeCellId="0" sqref="A36"/>
    </sheetView>
  </sheetViews>
  <sheetFormatPr defaultColWidth="12.1484375" defaultRowHeight="15" customHeight="true" zeroHeight="false" outlineLevelRow="0" outlineLevelCol="0"/>
  <cols>
    <col collapsed="false" customWidth="true" hidden="false" outlineLevel="0" max="1" min="1" style="22" width="9.14"/>
    <col collapsed="false" customWidth="true" hidden="false" outlineLevel="0" max="2" min="2" style="22" width="12.86"/>
    <col collapsed="false" customWidth="true" hidden="false" outlineLevel="0" max="3" min="3" style="22" width="22.86"/>
    <col collapsed="false" customWidth="true" hidden="false" outlineLevel="0" max="4" min="4" style="22" width="10"/>
    <col collapsed="false" customWidth="true" hidden="false" outlineLevel="0" max="5" min="5" style="22" width="14"/>
    <col collapsed="false" customWidth="true" hidden="false" outlineLevel="0" max="6" min="6" style="22" width="22.86"/>
    <col collapsed="false" customWidth="true" hidden="false" outlineLevel="0" max="7" min="7" style="22" width="9.14"/>
    <col collapsed="false" customWidth="true" hidden="false" outlineLevel="0" max="8" min="8" style="22" width="17.15"/>
    <col collapsed="false" customWidth="true" hidden="false" outlineLevel="0" max="9" min="9" style="22" width="22.86"/>
  </cols>
  <sheetData>
    <row r="1" customFormat="false" ht="54.75" hidden="false" customHeight="true" outlineLevel="0" collapsed="false">
      <c r="A1" s="24" t="s">
        <v>75</v>
      </c>
      <c r="B1" s="24"/>
      <c r="C1" s="24"/>
      <c r="D1" s="24"/>
      <c r="E1" s="24"/>
      <c r="F1" s="24"/>
      <c r="G1" s="24"/>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151</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3" customFormat="false" ht="15" hidden="false" customHeight="false" outlineLevel="0" collapsed="false">
      <c r="A13" s="58" t="s">
        <v>76</v>
      </c>
      <c r="B13" s="58"/>
      <c r="C13" s="58"/>
      <c r="D13" s="58"/>
      <c r="E13" s="58"/>
    </row>
    <row r="14" customFormat="false" ht="15" hidden="false" customHeight="false" outlineLevel="0" collapsed="false">
      <c r="A14" s="59" t="s">
        <v>77</v>
      </c>
      <c r="B14" s="59"/>
      <c r="C14" s="59"/>
      <c r="D14" s="59"/>
      <c r="E14" s="59"/>
      <c r="F14" s="60" t="s">
        <v>78</v>
      </c>
      <c r="G14" s="60" t="s">
        <v>79</v>
      </c>
      <c r="H14" s="60" t="s">
        <v>80</v>
      </c>
      <c r="I14" s="60" t="s">
        <v>78</v>
      </c>
    </row>
    <row r="15" customFormat="false" ht="15" hidden="false" customHeight="false" outlineLevel="0" collapsed="false">
      <c r="A15" s="61" t="s">
        <v>39</v>
      </c>
      <c r="B15" s="61"/>
      <c r="C15" s="61"/>
      <c r="D15" s="61"/>
      <c r="E15" s="61"/>
      <c r="F15" s="62" t="n">
        <v>0</v>
      </c>
      <c r="G15" s="63"/>
      <c r="H15" s="63"/>
      <c r="I15" s="62" t="n">
        <f aca="false">F15</f>
        <v>0</v>
      </c>
    </row>
    <row r="16" customFormat="false" ht="15" hidden="false" customHeight="false" outlineLevel="0" collapsed="false">
      <c r="A16" s="61" t="s">
        <v>41</v>
      </c>
      <c r="B16" s="61"/>
      <c r="C16" s="61"/>
      <c r="D16" s="61"/>
      <c r="E16" s="61"/>
      <c r="F16" s="62" t="n">
        <v>0</v>
      </c>
      <c r="G16" s="63"/>
      <c r="H16" s="63"/>
      <c r="I16" s="62" t="n">
        <f aca="false">F16</f>
        <v>0</v>
      </c>
    </row>
    <row r="17" customFormat="false" ht="15" hidden="false" customHeight="false" outlineLevel="0" collapsed="false">
      <c r="A17" s="64" t="s">
        <v>43</v>
      </c>
      <c r="B17" s="64"/>
      <c r="C17" s="64"/>
      <c r="D17" s="64"/>
      <c r="E17" s="64"/>
      <c r="F17" s="65" t="n">
        <v>0</v>
      </c>
      <c r="G17" s="10"/>
      <c r="H17" s="10"/>
      <c r="I17" s="65" t="n">
        <f aca="false">F17</f>
        <v>0</v>
      </c>
    </row>
    <row r="18" customFormat="false" ht="15" hidden="false" customHeight="false" outlineLevel="0" collapsed="false">
      <c r="A18" s="66" t="s">
        <v>81</v>
      </c>
      <c r="B18" s="66"/>
      <c r="C18" s="66"/>
      <c r="D18" s="66"/>
      <c r="E18" s="66"/>
      <c r="F18" s="67"/>
      <c r="G18" s="68"/>
      <c r="H18" s="68"/>
      <c r="I18" s="69" t="n">
        <f aca="false">SUM(I15:I17)</f>
        <v>0</v>
      </c>
    </row>
    <row r="20" customFormat="false" ht="15" hidden="false" customHeight="false" outlineLevel="0" collapsed="false">
      <c r="A20" s="59" t="s">
        <v>82</v>
      </c>
      <c r="B20" s="59"/>
      <c r="C20" s="59"/>
      <c r="D20" s="59"/>
      <c r="E20" s="59"/>
      <c r="F20" s="60" t="s">
        <v>78</v>
      </c>
      <c r="G20" s="60" t="s">
        <v>79</v>
      </c>
      <c r="H20" s="60" t="s">
        <v>80</v>
      </c>
      <c r="I20" s="60" t="s">
        <v>78</v>
      </c>
    </row>
    <row r="21" customFormat="false" ht="15" hidden="false" customHeight="false" outlineLevel="0" collapsed="false">
      <c r="A21" s="61" t="s">
        <v>83</v>
      </c>
      <c r="B21" s="61"/>
      <c r="C21" s="61"/>
      <c r="D21" s="61"/>
      <c r="E21" s="61"/>
      <c r="F21" s="62" t="n">
        <v>0</v>
      </c>
      <c r="G21" s="63"/>
      <c r="H21" s="63"/>
      <c r="I21" s="62" t="n">
        <f aca="false">F21</f>
        <v>0</v>
      </c>
    </row>
    <row r="22" customFormat="false" ht="15" hidden="false" customHeight="false" outlineLevel="0" collapsed="false">
      <c r="A22" s="61" t="s">
        <v>84</v>
      </c>
      <c r="B22" s="61"/>
      <c r="C22" s="61"/>
      <c r="D22" s="61"/>
      <c r="E22" s="61"/>
      <c r="F22" s="62" t="n">
        <v>0</v>
      </c>
      <c r="G22" s="63"/>
      <c r="H22" s="63"/>
      <c r="I22" s="62" t="n">
        <f aca="false">F22</f>
        <v>0</v>
      </c>
    </row>
    <row r="23" customFormat="false" ht="15" hidden="false" customHeight="false" outlineLevel="0" collapsed="false">
      <c r="A23" s="61" t="s">
        <v>85</v>
      </c>
      <c r="B23" s="61"/>
      <c r="C23" s="61"/>
      <c r="D23" s="61"/>
      <c r="E23" s="61"/>
      <c r="F23" s="62" t="n">
        <v>0</v>
      </c>
      <c r="G23" s="63"/>
      <c r="H23" s="63"/>
      <c r="I23" s="62" t="n">
        <f aca="false">F23</f>
        <v>0</v>
      </c>
    </row>
    <row r="24" customFormat="false" ht="15" hidden="false" customHeight="false" outlineLevel="0" collapsed="false">
      <c r="A24" s="61" t="s">
        <v>86</v>
      </c>
      <c r="B24" s="61"/>
      <c r="C24" s="61"/>
      <c r="D24" s="61"/>
      <c r="E24" s="61"/>
      <c r="F24" s="62" t="n">
        <v>0</v>
      </c>
      <c r="G24" s="63"/>
      <c r="H24" s="63"/>
      <c r="I24" s="62" t="n">
        <f aca="false">F24</f>
        <v>0</v>
      </c>
    </row>
    <row r="25" customFormat="false" ht="15" hidden="false" customHeight="false" outlineLevel="0" collapsed="false">
      <c r="A25" s="61" t="s">
        <v>87</v>
      </c>
      <c r="B25" s="61"/>
      <c r="C25" s="61"/>
      <c r="D25" s="61"/>
      <c r="E25" s="61"/>
      <c r="F25" s="62" t="n">
        <v>0</v>
      </c>
      <c r="G25" s="63"/>
      <c r="H25" s="63"/>
      <c r="I25" s="62" t="n">
        <f aca="false">F25</f>
        <v>0</v>
      </c>
    </row>
    <row r="26" customFormat="false" ht="15" hidden="false" customHeight="false" outlineLevel="0" collapsed="false">
      <c r="A26" s="64" t="s">
        <v>88</v>
      </c>
      <c r="B26" s="64"/>
      <c r="C26" s="64"/>
      <c r="D26" s="64"/>
      <c r="E26" s="64"/>
      <c r="F26" s="65" t="n">
        <v>0</v>
      </c>
      <c r="G26" s="10"/>
      <c r="H26" s="10"/>
      <c r="I26" s="65" t="n">
        <f aca="false">F26</f>
        <v>0</v>
      </c>
    </row>
    <row r="27" customFormat="false" ht="15" hidden="false" customHeight="false" outlineLevel="0" collapsed="false">
      <c r="A27" s="66" t="s">
        <v>89</v>
      </c>
      <c r="B27" s="66"/>
      <c r="C27" s="66"/>
      <c r="D27" s="66"/>
      <c r="E27" s="66"/>
      <c r="F27" s="67"/>
      <c r="G27" s="68"/>
      <c r="H27" s="68"/>
      <c r="I27" s="69" t="n">
        <f aca="false">SUM(I21:I26)</f>
        <v>0</v>
      </c>
    </row>
    <row r="29" customFormat="false" ht="15" hidden="false" customHeight="false" outlineLevel="0" collapsed="false">
      <c r="A29" s="70" t="s">
        <v>90</v>
      </c>
      <c r="B29" s="70"/>
      <c r="C29" s="70"/>
      <c r="D29" s="70"/>
      <c r="E29" s="70"/>
      <c r="F29" s="71" t="n">
        <f aca="false">I18+I27</f>
        <v>0</v>
      </c>
      <c r="G29" s="71"/>
      <c r="H29" s="71"/>
      <c r="I29" s="71"/>
    </row>
    <row r="33" customFormat="false" ht="15" hidden="false" customHeight="false" outlineLevel="0" collapsed="false">
      <c r="A33" s="58" t="s">
        <v>91</v>
      </c>
      <c r="B33" s="58"/>
      <c r="C33" s="58"/>
      <c r="D33" s="58"/>
      <c r="E33" s="58"/>
    </row>
    <row r="34" customFormat="false" ht="15" hidden="false" customHeight="false" outlineLevel="0" collapsed="false">
      <c r="A34" s="59" t="s">
        <v>92</v>
      </c>
      <c r="B34" s="59"/>
      <c r="C34" s="59"/>
      <c r="D34" s="59"/>
      <c r="E34" s="59"/>
      <c r="F34" s="60" t="s">
        <v>78</v>
      </c>
      <c r="G34" s="60" t="s">
        <v>79</v>
      </c>
      <c r="H34" s="60" t="s">
        <v>80</v>
      </c>
      <c r="I34" s="60" t="s">
        <v>78</v>
      </c>
    </row>
    <row r="35" customFormat="false" ht="15" hidden="false" customHeight="false" outlineLevel="0" collapsed="false">
      <c r="A35" s="64"/>
      <c r="B35" s="64"/>
      <c r="C35" s="64"/>
      <c r="D35" s="64"/>
      <c r="E35" s="64"/>
      <c r="F35" s="65" t="n">
        <v>0</v>
      </c>
      <c r="G35" s="10"/>
      <c r="H35" s="10"/>
      <c r="I35" s="65" t="n">
        <f aca="false">F35</f>
        <v>0</v>
      </c>
    </row>
    <row r="36" customFormat="false" ht="15" hidden="false" customHeight="false" outlineLevel="0" collapsed="false">
      <c r="A36" s="66" t="s">
        <v>93</v>
      </c>
      <c r="B36" s="66"/>
      <c r="C36" s="66"/>
      <c r="D36" s="66"/>
      <c r="E36" s="66"/>
      <c r="F36" s="67"/>
      <c r="G36" s="68"/>
      <c r="H36" s="68"/>
      <c r="I36" s="69" t="n">
        <f aca="false">SUM(I35)</f>
        <v>0</v>
      </c>
    </row>
  </sheetData>
  <mergeCells count="51">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P1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A1" activeCellId="0" sqref="A1"/>
    </sheetView>
  </sheetViews>
  <sheetFormatPr defaultColWidth="12.1484375" defaultRowHeight="15" customHeight="true" zeroHeight="false" outlineLevelRow="0" outlineLevelCol="0"/>
  <cols>
    <col collapsed="false" customWidth="true" hidden="false" outlineLevel="0" max="1" min="1" style="22" width="11.27"/>
    <col collapsed="false" customWidth="true" hidden="false" outlineLevel="0" max="8" min="2" style="22" width="15.71"/>
    <col collapsed="false" customWidth="true" hidden="false" outlineLevel="0" max="12" min="9" style="22" width="14.29"/>
    <col collapsed="false" customWidth="false" hidden="true" outlineLevel="0" max="16" min="13" style="22" width="12.15"/>
  </cols>
  <sheetData>
    <row r="1" customFormat="false" ht="39.7" hidden="false" customHeight="true" outlineLevel="0" collapsed="false">
      <c r="A1" s="72" t="s">
        <v>94</v>
      </c>
      <c r="B1" s="72"/>
      <c r="C1" s="72"/>
      <c r="D1" s="72"/>
      <c r="E1" s="72"/>
      <c r="F1" s="72"/>
      <c r="G1" s="72"/>
      <c r="H1" s="72"/>
      <c r="I1" s="72"/>
      <c r="J1" s="72"/>
      <c r="K1" s="72"/>
      <c r="L1" s="72"/>
    </row>
    <row r="2" customFormat="false" ht="15" hidden="false" customHeight="true" outlineLevel="0" collapsed="false">
      <c r="A2" s="3" t="s">
        <v>1</v>
      </c>
      <c r="B2" s="3"/>
      <c r="C2" s="3"/>
      <c r="D2" s="4" t="str">
        <f aca="false">'Stavební rozpočet'!C2</f>
        <v>Přeměna sídlištních ploch – II. Etapa _ Fontána Jablko</v>
      </c>
      <c r="E2" s="4"/>
      <c r="F2" s="4"/>
      <c r="G2" s="5" t="s">
        <v>95</v>
      </c>
      <c r="H2" s="5" t="str">
        <f aca="false">'Stavební rozpočet'!F2</f>
        <v> </v>
      </c>
      <c r="I2" s="5" t="s">
        <v>2</v>
      </c>
      <c r="J2" s="73" t="str">
        <f aca="false">'Stavební rozpočet'!I2</f>
        <v>Městská část Praha 12, Generála Šišky 2375/6, 143</v>
      </c>
      <c r="K2" s="73"/>
      <c r="L2" s="73"/>
    </row>
    <row r="3" customFormat="false" ht="15" hidden="false" customHeight="true" outlineLevel="0" collapsed="false">
      <c r="A3" s="3"/>
      <c r="B3" s="3"/>
      <c r="C3" s="3"/>
      <c r="D3" s="4"/>
      <c r="E3" s="4"/>
      <c r="F3" s="4"/>
      <c r="G3" s="5"/>
      <c r="H3" s="5"/>
      <c r="I3" s="5"/>
      <c r="J3" s="5"/>
      <c r="K3" s="73"/>
      <c r="L3" s="73"/>
    </row>
    <row r="4" customFormat="false" ht="15" hidden="false" customHeight="true" outlineLevel="0" collapsed="false">
      <c r="A4" s="8" t="s">
        <v>5</v>
      </c>
      <c r="B4" s="8"/>
      <c r="C4" s="8"/>
      <c r="D4" s="9" t="str">
        <f aca="false">'Stavební rozpočet'!C4</f>
        <v>Stavební úpravy veřejného prostranství _Fontána Jablko</v>
      </c>
      <c r="E4" s="9"/>
      <c r="F4" s="9"/>
      <c r="G4" s="9" t="s">
        <v>10</v>
      </c>
      <c r="H4" s="9" t="str">
        <f aca="false">'Stavební rozpočet'!F4</f>
        <v> </v>
      </c>
      <c r="I4" s="9" t="s">
        <v>6</v>
      </c>
      <c r="J4" s="74" t="str">
        <f aca="false">'Stavební rozpočet'!I4</f>
        <v>HUA HUA ARCHITECTS s.r.o., Porážka 459/2, 602 00 Brno</v>
      </c>
      <c r="K4" s="74"/>
      <c r="L4" s="74"/>
    </row>
    <row r="5" customFormat="false" ht="15" hidden="false" customHeight="true" outlineLevel="0" collapsed="false">
      <c r="A5" s="8"/>
      <c r="B5" s="8"/>
      <c r="C5" s="8"/>
      <c r="D5" s="9"/>
      <c r="E5" s="9"/>
      <c r="F5" s="9"/>
      <c r="G5" s="9"/>
      <c r="H5" s="9"/>
      <c r="I5" s="9"/>
      <c r="J5" s="9"/>
      <c r="K5" s="74"/>
      <c r="L5" s="74"/>
    </row>
    <row r="6" customFormat="false" ht="15" hidden="false" customHeight="true" outlineLevel="0" collapsed="false">
      <c r="A6" s="8" t="s">
        <v>8</v>
      </c>
      <c r="B6" s="8"/>
      <c r="C6" s="8"/>
      <c r="D6" s="9" t="str">
        <f aca="false">'Stavební rozpočet'!C6</f>
        <v>Praha (554782),Modřany (728616), par.č. 4400/448</v>
      </c>
      <c r="E6" s="9"/>
      <c r="F6" s="9"/>
      <c r="G6" s="9" t="s">
        <v>11</v>
      </c>
      <c r="H6" s="9" t="str">
        <f aca="false">'Stavební rozpočet'!F6</f>
        <v> </v>
      </c>
      <c r="I6" s="9" t="s">
        <v>9</v>
      </c>
      <c r="J6" s="74" t="str">
        <f aca="false">'Stavební rozpočet'!I6</f>
        <v> </v>
      </c>
      <c r="K6" s="74"/>
      <c r="L6" s="74"/>
    </row>
    <row r="7" customFormat="false" ht="15" hidden="false" customHeight="true" outlineLevel="0" collapsed="false">
      <c r="A7" s="8"/>
      <c r="B7" s="8"/>
      <c r="C7" s="8"/>
      <c r="D7" s="9"/>
      <c r="E7" s="9"/>
      <c r="F7" s="9"/>
      <c r="G7" s="9"/>
      <c r="H7" s="9"/>
      <c r="I7" s="9"/>
      <c r="J7" s="9"/>
      <c r="K7" s="74"/>
      <c r="L7" s="74"/>
    </row>
    <row r="8" customFormat="false" ht="15" hidden="false" customHeight="true" outlineLevel="0" collapsed="false">
      <c r="A8" s="8" t="s">
        <v>13</v>
      </c>
      <c r="B8" s="8"/>
      <c r="C8" s="8"/>
      <c r="D8" s="9" t="str">
        <f aca="false">'Stavební rozpočet'!C8</f>
        <v>8225733</v>
      </c>
      <c r="E8" s="9"/>
      <c r="F8" s="9"/>
      <c r="G8" s="9" t="s">
        <v>96</v>
      </c>
      <c r="H8" s="9" t="str">
        <f aca="false">'Stavební rozpočet'!F8</f>
        <v>08.01.2026</v>
      </c>
      <c r="I8" s="9" t="s">
        <v>14</v>
      </c>
      <c r="J8" s="74" t="str">
        <f aca="false">'Stavební rozpočet'!I8</f>
        <v>Bohuslav Hemala</v>
      </c>
      <c r="K8" s="74"/>
      <c r="L8" s="74"/>
    </row>
    <row r="9" customFormat="false" ht="15" hidden="false" customHeight="false" outlineLevel="0" collapsed="false">
      <c r="A9" s="8"/>
      <c r="B9" s="8"/>
      <c r="C9" s="8"/>
      <c r="D9" s="9"/>
      <c r="E9" s="9"/>
      <c r="F9" s="9"/>
      <c r="G9" s="9"/>
      <c r="H9" s="9"/>
      <c r="I9" s="9"/>
      <c r="J9" s="9"/>
      <c r="K9" s="74"/>
      <c r="L9" s="74"/>
    </row>
    <row r="10" customFormat="false" ht="15" hidden="false" customHeight="false" outlineLevel="0" collapsed="false">
      <c r="A10" s="75" t="s">
        <v>97</v>
      </c>
      <c r="B10" s="76" t="s">
        <v>97</v>
      </c>
      <c r="C10" s="76"/>
      <c r="D10" s="76"/>
      <c r="E10" s="76"/>
      <c r="F10" s="76"/>
      <c r="G10" s="76"/>
      <c r="H10" s="76"/>
      <c r="I10" s="77" t="s">
        <v>98</v>
      </c>
      <c r="J10" s="77"/>
      <c r="K10" s="77"/>
      <c r="L10" s="78" t="s">
        <v>99</v>
      </c>
    </row>
    <row r="11" customFormat="false" ht="15" hidden="false" customHeight="false" outlineLevel="0" collapsed="false">
      <c r="A11" s="79" t="s">
        <v>100</v>
      </c>
      <c r="B11" s="80" t="s">
        <v>101</v>
      </c>
      <c r="C11" s="80"/>
      <c r="D11" s="80"/>
      <c r="E11" s="80"/>
      <c r="F11" s="80"/>
      <c r="G11" s="80"/>
      <c r="H11" s="80"/>
      <c r="I11" s="81" t="s">
        <v>102</v>
      </c>
      <c r="J11" s="82" t="s">
        <v>40</v>
      </c>
      <c r="K11" s="83" t="s">
        <v>103</v>
      </c>
      <c r="L11" s="83" t="s">
        <v>103</v>
      </c>
    </row>
    <row r="12" customFormat="false" ht="19.85" hidden="false" customHeight="true" outlineLevel="0" collapsed="false">
      <c r="A12" s="84" t="s">
        <v>104</v>
      </c>
      <c r="B12" s="85" t="s">
        <v>105</v>
      </c>
      <c r="C12" s="85"/>
      <c r="D12" s="85"/>
      <c r="E12" s="85"/>
      <c r="F12" s="85"/>
      <c r="G12" s="85"/>
      <c r="H12" s="85"/>
      <c r="I12" s="86" t="n">
        <f aca="false">ROUND('Stavební rozpočet'!I12,2)</f>
        <v>0</v>
      </c>
      <c r="J12" s="86" t="n">
        <f aca="false">ROUND('Stavební rozpočet'!J12,2)</f>
        <v>0</v>
      </c>
      <c r="K12" s="86" t="n">
        <f aca="false">ROUND('Stavební rozpočet'!K12,2)</f>
        <v>0</v>
      </c>
      <c r="L12" s="86" t="n">
        <f aca="false">'Stavební rozpočet'!M12</f>
        <v>10.9418528</v>
      </c>
      <c r="M12" s="87" t="s">
        <v>106</v>
      </c>
      <c r="N12" s="88" t="n">
        <f aca="false">IF(M12="F",0,K12)</f>
        <v>0</v>
      </c>
      <c r="O12" s="11" t="s">
        <v>104</v>
      </c>
      <c r="P12" s="88" t="n">
        <f aca="false">IF(M12="T",0,K12)</f>
        <v>0</v>
      </c>
    </row>
    <row r="13" customFormat="false" ht="19.85" hidden="false" customHeight="true" outlineLevel="0" collapsed="false">
      <c r="A13" s="89" t="s">
        <v>107</v>
      </c>
      <c r="B13" s="90" t="s">
        <v>108</v>
      </c>
      <c r="C13" s="90"/>
      <c r="D13" s="90"/>
      <c r="E13" s="90"/>
      <c r="F13" s="90"/>
      <c r="G13" s="90"/>
      <c r="H13" s="90"/>
      <c r="I13" s="91" t="n">
        <f aca="false">ROUND('Stavební rozpočet'!I38,2)</f>
        <v>0</v>
      </c>
      <c r="J13" s="91" t="n">
        <f aca="false">ROUND('Stavební rozpočet'!J38,2)</f>
        <v>0</v>
      </c>
      <c r="K13" s="91" t="n">
        <f aca="false">ROUND('Stavební rozpočet'!K38,2)</f>
        <v>0</v>
      </c>
      <c r="L13" s="91" t="n">
        <f aca="false">'Stavební rozpočet'!M38</f>
        <v>39.2930456</v>
      </c>
      <c r="M13" s="87" t="s">
        <v>106</v>
      </c>
      <c r="N13" s="88" t="n">
        <f aca="false">IF(M13="F",0,K13)</f>
        <v>0</v>
      </c>
      <c r="O13" s="11" t="s">
        <v>107</v>
      </c>
      <c r="P13" s="88" t="n">
        <f aca="false">IF(M13="T",0,K13)</f>
        <v>0</v>
      </c>
    </row>
    <row r="14" customFormat="false" ht="19.85" hidden="false" customHeight="true" outlineLevel="0" collapsed="false">
      <c r="A14" s="92" t="s">
        <v>109</v>
      </c>
      <c r="B14" s="93" t="s">
        <v>110</v>
      </c>
      <c r="C14" s="93"/>
      <c r="D14" s="93"/>
      <c r="E14" s="93"/>
      <c r="F14" s="93"/>
      <c r="G14" s="93"/>
      <c r="H14" s="93"/>
      <c r="I14" s="94" t="n">
        <f aca="false">ROUND('Stavební rozpočet'!I83,2)</f>
        <v>0</v>
      </c>
      <c r="J14" s="94" t="n">
        <f aca="false">ROUND('Stavební rozpočet'!J83,2)</f>
        <v>0</v>
      </c>
      <c r="K14" s="94" t="n">
        <f aca="false">ROUND('Stavební rozpočet'!K83,2)</f>
        <v>0</v>
      </c>
      <c r="L14" s="94" t="n">
        <f aca="false">'Stavební rozpočet'!M83</f>
        <v>6.911998</v>
      </c>
      <c r="M14" s="87" t="s">
        <v>106</v>
      </c>
      <c r="N14" s="88" t="n">
        <f aca="false">IF(M14="F",0,K14)</f>
        <v>0</v>
      </c>
      <c r="O14" s="11" t="s">
        <v>109</v>
      </c>
      <c r="P14" s="88" t="n">
        <f aca="false">IF(M14="T",0,K14)</f>
        <v>0</v>
      </c>
    </row>
    <row r="15" customFormat="false" ht="19.85" hidden="false" customHeight="true" outlineLevel="0" collapsed="false">
      <c r="A15" s="95" t="s">
        <v>111</v>
      </c>
      <c r="B15" s="96" t="s">
        <v>112</v>
      </c>
      <c r="C15" s="96"/>
      <c r="D15" s="96"/>
      <c r="E15" s="96"/>
      <c r="F15" s="96"/>
      <c r="G15" s="96"/>
      <c r="H15" s="96"/>
      <c r="I15" s="97" t="n">
        <f aca="false">ROUND('Stavební rozpočet'!I152,2)</f>
        <v>0</v>
      </c>
      <c r="J15" s="97" t="n">
        <f aca="false">ROUND('Stavební rozpočet'!J152,2)</f>
        <v>0</v>
      </c>
      <c r="K15" s="97" t="n">
        <f aca="false">ROUND('Stavební rozpočet'!K152,2)</f>
        <v>0</v>
      </c>
      <c r="L15" s="97" t="n">
        <f aca="false">'Stavební rozpočet'!M152</f>
        <v>4.75596055</v>
      </c>
      <c r="M15" s="87" t="s">
        <v>106</v>
      </c>
      <c r="N15" s="88" t="n">
        <f aca="false">IF(M15="F",0,K15)</f>
        <v>0</v>
      </c>
      <c r="O15" s="11" t="s">
        <v>111</v>
      </c>
      <c r="P15" s="88" t="n">
        <f aca="false">IF(M15="T",0,K15)</f>
        <v>0</v>
      </c>
    </row>
    <row r="16" customFormat="false" ht="19.85" hidden="false" customHeight="true" outlineLevel="0" collapsed="false">
      <c r="A16" s="98" t="s">
        <v>113</v>
      </c>
      <c r="B16" s="99" t="s">
        <v>75</v>
      </c>
      <c r="C16" s="99"/>
      <c r="D16" s="99"/>
      <c r="E16" s="99"/>
      <c r="F16" s="99"/>
      <c r="G16" s="99"/>
      <c r="H16" s="99"/>
      <c r="I16" s="100" t="n">
        <f aca="false">ROUND('Stavební rozpočet'!I176,2)</f>
        <v>0</v>
      </c>
      <c r="J16" s="100" t="n">
        <f aca="false">ROUND('Stavební rozpočet'!J176,2)</f>
        <v>0</v>
      </c>
      <c r="K16" s="100" t="n">
        <f aca="false">ROUND('Stavební rozpočet'!K176,2)</f>
        <v>0</v>
      </c>
      <c r="L16" s="100" t="n">
        <f aca="false">'Stavební rozpočet'!M176</f>
        <v>0</v>
      </c>
      <c r="M16" s="87" t="s">
        <v>106</v>
      </c>
      <c r="N16" s="88" t="n">
        <f aca="false">IF(M16="F",0,K16)</f>
        <v>0</v>
      </c>
      <c r="O16" s="11" t="s">
        <v>113</v>
      </c>
      <c r="P16" s="88" t="n">
        <f aca="false">IF(M16="T",0,K16)</f>
        <v>0</v>
      </c>
    </row>
    <row r="17" customFormat="false" ht="19.85" hidden="false" customHeight="true" outlineLevel="0" collapsed="false">
      <c r="I17" s="101" t="s">
        <v>114</v>
      </c>
      <c r="J17" s="101"/>
      <c r="K17" s="102" t="n">
        <f aca="false">ROUND(SUM(P12:P16),1)</f>
        <v>0</v>
      </c>
    </row>
    <row r="18" customFormat="false" ht="15" hidden="false" customHeight="false" outlineLevel="0" collapsed="false">
      <c r="A18" s="1"/>
    </row>
    <row r="19" customFormat="false" ht="12.75" hidden="true" customHeight="true" outlineLevel="0" collapsed="false">
      <c r="A19" s="9"/>
      <c r="B19" s="9"/>
      <c r="C19" s="9"/>
      <c r="D19" s="9"/>
      <c r="E19" s="9"/>
      <c r="F19" s="9"/>
      <c r="G19" s="9"/>
      <c r="H19" s="9"/>
      <c r="I19" s="9"/>
      <c r="J19" s="9"/>
      <c r="K19" s="9"/>
      <c r="L19" s="9"/>
    </row>
  </sheetData>
  <mergeCells count="35">
    <mergeCell ref="A1:L1"/>
    <mergeCell ref="A2:C3"/>
    <mergeCell ref="D2:F3"/>
    <mergeCell ref="G2:G3"/>
    <mergeCell ref="H2:H3"/>
    <mergeCell ref="I2:I3"/>
    <mergeCell ref="J2:L3"/>
    <mergeCell ref="A4:C5"/>
    <mergeCell ref="D4:F5"/>
    <mergeCell ref="G4:G5"/>
    <mergeCell ref="H4:H5"/>
    <mergeCell ref="I4:I5"/>
    <mergeCell ref="J4:L5"/>
    <mergeCell ref="A6:C7"/>
    <mergeCell ref="D6:F7"/>
    <mergeCell ref="G6:G7"/>
    <mergeCell ref="H6:H7"/>
    <mergeCell ref="I6:I7"/>
    <mergeCell ref="J6:L7"/>
    <mergeCell ref="A8:C9"/>
    <mergeCell ref="D8:F9"/>
    <mergeCell ref="G8:G9"/>
    <mergeCell ref="H8:H9"/>
    <mergeCell ref="I8:I9"/>
    <mergeCell ref="J8:L9"/>
    <mergeCell ref="B10:H10"/>
    <mergeCell ref="I10:K10"/>
    <mergeCell ref="B11:H11"/>
    <mergeCell ref="B12:H12"/>
    <mergeCell ref="B13:H13"/>
    <mergeCell ref="B14:H14"/>
    <mergeCell ref="B15:H15"/>
    <mergeCell ref="B16:H16"/>
    <mergeCell ref="I17:J17"/>
    <mergeCell ref="A19:L19"/>
  </mergeCells>
  <printOptions headings="false" gridLines="false" gridLinesSet="true" horizontalCentered="false" verticalCentered="false"/>
  <pageMargins left="0.39375" right="0.39375" top="0.590972222222222" bottom="0.757638888888889" header="0.511811023622047" footer="0.590972222222222"/>
  <pageSetup paperSize="1" scale="100" fitToWidth="1" fitToHeight="1" pageOrder="downThenOver" orientation="landscape" blackAndWhite="false" draft="false" cellComments="none" firstPageNumber="3" useFirstPageNumber="true" horizontalDpi="300" verticalDpi="300" copies="1"/>
  <headerFooter differentFirst="false" differentOddEven="false">
    <oddHeader/>
    <oddFooter>&amp;C&amp;"Times New Roman,obyčejné"&amp;12&amp;F, Stránka &amp;P</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BX190"/>
  <sheetViews>
    <sheetView showFormulas="false" showGridLines="true" showRowColHeaders="true" showZeros="true" rightToLeft="false" tabSelected="true" showOutlineSymbols="true" defaultGridColor="true" view="normal" topLeftCell="C1" colorId="64" zoomScale="100" zoomScaleNormal="100" zoomScalePageLayoutView="100" workbookViewId="0">
      <pane xSplit="0" ySplit="11" topLeftCell="A12" activePane="bottomLeft" state="frozen"/>
      <selection pane="topLeft" activeCell="C1" activeCellId="0" sqref="C1"/>
      <selection pane="bottomLeft" activeCell="G185" activeCellId="0" sqref="G185"/>
    </sheetView>
  </sheetViews>
  <sheetFormatPr defaultColWidth="12.1484375" defaultRowHeight="15" customHeight="true" zeroHeight="false" outlineLevelRow="0" outlineLevelCol="0"/>
  <cols>
    <col collapsed="false" customWidth="true" hidden="false" outlineLevel="0" max="1" min="1" style="22" width="4"/>
    <col collapsed="false" customWidth="true" hidden="false" outlineLevel="0" max="2" min="2" style="22" width="8.15"/>
    <col collapsed="false" customWidth="true" hidden="false" outlineLevel="0" max="3" min="3" style="22" width="17.86"/>
    <col collapsed="false" customWidth="true" hidden="false" outlineLevel="0" max="4" min="4" style="103" width="40.48"/>
    <col collapsed="false" customWidth="true" hidden="false" outlineLevel="0" max="5" min="5" style="22" width="15.44"/>
    <col collapsed="false" customWidth="true" hidden="false" outlineLevel="0" max="6" min="6" style="22" width="4.86"/>
    <col collapsed="false" customWidth="true" hidden="false" outlineLevel="0" max="7" min="7" style="104" width="12.86"/>
    <col collapsed="false" customWidth="true" hidden="false" outlineLevel="0" max="8" min="8" style="22" width="12"/>
    <col collapsed="false" customWidth="true" hidden="false" outlineLevel="0" max="11" min="9" style="22" width="15.71"/>
    <col collapsed="false" customWidth="true" hidden="false" outlineLevel="0" max="13" min="12" style="22" width="11.71"/>
    <col collapsed="false" customWidth="true" hidden="false" outlineLevel="0" max="14" min="14" style="22" width="13.42"/>
    <col collapsed="false" customWidth="false" hidden="true" outlineLevel="0" max="75" min="25" style="22" width="12.15"/>
    <col collapsed="false" customWidth="true" hidden="true" outlineLevel="0" max="76" min="76" style="22" width="78.57"/>
    <col collapsed="false" customWidth="false" hidden="true" outlineLevel="0" max="78" min="77" style="22" width="12.15"/>
  </cols>
  <sheetData>
    <row r="1" customFormat="false" ht="39.7" hidden="false" customHeight="true" outlineLevel="0" collapsed="false">
      <c r="A1" s="105" t="s">
        <v>115</v>
      </c>
      <c r="B1" s="105"/>
      <c r="C1" s="105"/>
      <c r="D1" s="105"/>
      <c r="E1" s="105"/>
      <c r="F1" s="105"/>
      <c r="G1" s="105"/>
      <c r="H1" s="105"/>
      <c r="I1" s="105"/>
      <c r="J1" s="105"/>
      <c r="K1" s="105"/>
      <c r="L1" s="105"/>
      <c r="M1" s="105"/>
      <c r="N1" s="106"/>
      <c r="AS1" s="107" t="n">
        <f aca="false">SUM(AJ1:AJ2)</f>
        <v>0</v>
      </c>
      <c r="AT1" s="107" t="n">
        <f aca="false">SUM(AK1:AK2)</f>
        <v>0</v>
      </c>
      <c r="AU1" s="107" t="n">
        <f aca="false">SUM(AL1:AL2)</f>
        <v>0</v>
      </c>
    </row>
    <row r="2" customFormat="false" ht="15" hidden="false" customHeight="true" outlineLevel="0" collapsed="false">
      <c r="A2" s="3" t="s">
        <v>1</v>
      </c>
      <c r="B2" s="3"/>
      <c r="C2" s="4" t="s">
        <v>116</v>
      </c>
      <c r="D2" s="4"/>
      <c r="E2" s="108" t="s">
        <v>95</v>
      </c>
      <c r="F2" s="108" t="s">
        <v>97</v>
      </c>
      <c r="G2" s="108"/>
      <c r="H2" s="5" t="s">
        <v>2</v>
      </c>
      <c r="I2" s="73" t="s">
        <v>117</v>
      </c>
      <c r="J2" s="73"/>
      <c r="K2" s="73"/>
      <c r="L2" s="73"/>
      <c r="M2" s="73"/>
      <c r="N2" s="73"/>
    </row>
    <row r="3" customFormat="false" ht="15" hidden="false" customHeight="false" outlineLevel="0" collapsed="false">
      <c r="A3" s="3"/>
      <c r="B3" s="3"/>
      <c r="C3" s="4"/>
      <c r="D3" s="4"/>
      <c r="E3" s="108"/>
      <c r="F3" s="108"/>
      <c r="G3" s="108"/>
      <c r="H3" s="5"/>
      <c r="I3" s="5"/>
      <c r="J3" s="73"/>
      <c r="K3" s="73"/>
      <c r="L3" s="73"/>
      <c r="M3" s="73"/>
      <c r="N3" s="73"/>
    </row>
    <row r="4" customFormat="false" ht="15" hidden="false" customHeight="true" outlineLevel="0" collapsed="false">
      <c r="A4" s="8" t="s">
        <v>5</v>
      </c>
      <c r="B4" s="8"/>
      <c r="C4" s="9" t="s">
        <v>118</v>
      </c>
      <c r="D4" s="9"/>
      <c r="E4" s="11" t="s">
        <v>10</v>
      </c>
      <c r="F4" s="11" t="s">
        <v>97</v>
      </c>
      <c r="G4" s="11"/>
      <c r="H4" s="9" t="s">
        <v>6</v>
      </c>
      <c r="I4" s="74" t="s">
        <v>119</v>
      </c>
      <c r="J4" s="74"/>
      <c r="K4" s="74"/>
      <c r="L4" s="74"/>
      <c r="M4" s="74"/>
      <c r="N4" s="74"/>
    </row>
    <row r="5" customFormat="false" ht="15" hidden="false" customHeight="false" outlineLevel="0" collapsed="false">
      <c r="A5" s="8"/>
      <c r="B5" s="8"/>
      <c r="C5" s="9"/>
      <c r="D5" s="9"/>
      <c r="E5" s="11"/>
      <c r="F5" s="11"/>
      <c r="G5" s="11"/>
      <c r="H5" s="9"/>
      <c r="I5" s="9"/>
      <c r="J5" s="74"/>
      <c r="K5" s="74"/>
      <c r="L5" s="74"/>
      <c r="M5" s="74"/>
      <c r="N5" s="74"/>
    </row>
    <row r="6" customFormat="false" ht="15" hidden="false" customHeight="true" outlineLevel="0" collapsed="false">
      <c r="A6" s="8" t="s">
        <v>8</v>
      </c>
      <c r="B6" s="8"/>
      <c r="C6" s="9" t="s">
        <v>120</v>
      </c>
      <c r="D6" s="9"/>
      <c r="E6" s="11" t="s">
        <v>11</v>
      </c>
      <c r="F6" s="11" t="s">
        <v>97</v>
      </c>
      <c r="G6" s="11"/>
      <c r="H6" s="9" t="s">
        <v>9</v>
      </c>
      <c r="I6" s="10" t="s">
        <v>72</v>
      </c>
      <c r="J6" s="10"/>
      <c r="K6" s="10"/>
      <c r="L6" s="10"/>
      <c r="M6" s="10"/>
      <c r="N6" s="10"/>
    </row>
    <row r="7" customFormat="false" ht="15" hidden="false" customHeight="false" outlineLevel="0" collapsed="false">
      <c r="A7" s="8"/>
      <c r="B7" s="8"/>
      <c r="C7" s="9"/>
      <c r="D7" s="9"/>
      <c r="E7" s="11"/>
      <c r="F7" s="11"/>
      <c r="G7" s="11"/>
      <c r="H7" s="9"/>
      <c r="I7" s="9"/>
      <c r="J7" s="10"/>
      <c r="K7" s="10"/>
      <c r="L7" s="10"/>
      <c r="M7" s="10"/>
      <c r="N7" s="10"/>
    </row>
    <row r="8" customFormat="false" ht="15" hidden="false" customHeight="true" outlineLevel="0" collapsed="false">
      <c r="A8" s="8" t="s">
        <v>13</v>
      </c>
      <c r="B8" s="8"/>
      <c r="C8" s="9" t="s">
        <v>121</v>
      </c>
      <c r="D8" s="9"/>
      <c r="E8" s="11" t="s">
        <v>96</v>
      </c>
      <c r="F8" s="11" t="s">
        <v>122</v>
      </c>
      <c r="G8" s="11"/>
      <c r="H8" s="9" t="s">
        <v>14</v>
      </c>
      <c r="I8" s="74" t="s">
        <v>123</v>
      </c>
      <c r="J8" s="74"/>
      <c r="K8" s="74"/>
      <c r="L8" s="74"/>
      <c r="M8" s="74"/>
      <c r="N8" s="74"/>
    </row>
    <row r="9" customFormat="false" ht="15" hidden="false" customHeight="false" outlineLevel="0" collapsed="false">
      <c r="A9" s="8"/>
      <c r="B9" s="8"/>
      <c r="C9" s="9"/>
      <c r="D9" s="9"/>
      <c r="E9" s="11"/>
      <c r="F9" s="11"/>
      <c r="G9" s="11"/>
      <c r="H9" s="9"/>
      <c r="I9" s="9"/>
      <c r="J9" s="74"/>
      <c r="K9" s="74"/>
      <c r="L9" s="74"/>
      <c r="M9" s="74"/>
      <c r="N9" s="74"/>
    </row>
    <row r="10" customFormat="false" ht="15" hidden="false" customHeight="true" outlineLevel="0" collapsed="false">
      <c r="A10" s="109" t="s">
        <v>124</v>
      </c>
      <c r="B10" s="110" t="s">
        <v>100</v>
      </c>
      <c r="C10" s="110" t="s">
        <v>125</v>
      </c>
      <c r="D10" s="111" t="s">
        <v>101</v>
      </c>
      <c r="E10" s="111"/>
      <c r="F10" s="110" t="s">
        <v>126</v>
      </c>
      <c r="G10" s="112" t="s">
        <v>127</v>
      </c>
      <c r="H10" s="113" t="s">
        <v>128</v>
      </c>
      <c r="I10" s="77" t="s">
        <v>98</v>
      </c>
      <c r="J10" s="77"/>
      <c r="K10" s="77"/>
      <c r="L10" s="114" t="s">
        <v>99</v>
      </c>
      <c r="M10" s="114"/>
      <c r="N10" s="115" t="s">
        <v>129</v>
      </c>
      <c r="BK10" s="116" t="s">
        <v>130</v>
      </c>
      <c r="BL10" s="117" t="s">
        <v>131</v>
      </c>
      <c r="BW10" s="117" t="s">
        <v>132</v>
      </c>
    </row>
    <row r="11" customFormat="false" ht="15" hidden="false" customHeight="true" outlineLevel="0" collapsed="false">
      <c r="A11" s="118" t="s">
        <v>97</v>
      </c>
      <c r="B11" s="119" t="s">
        <v>97</v>
      </c>
      <c r="C11" s="119" t="s">
        <v>97</v>
      </c>
      <c r="D11" s="120" t="s">
        <v>133</v>
      </c>
      <c r="E11" s="120"/>
      <c r="F11" s="119" t="s">
        <v>97</v>
      </c>
      <c r="G11" s="121" t="s">
        <v>97</v>
      </c>
      <c r="H11" s="122" t="s">
        <v>134</v>
      </c>
      <c r="I11" s="81" t="s">
        <v>102</v>
      </c>
      <c r="J11" s="82" t="s">
        <v>40</v>
      </c>
      <c r="K11" s="83" t="s">
        <v>103</v>
      </c>
      <c r="L11" s="82" t="s">
        <v>135</v>
      </c>
      <c r="M11" s="122" t="s">
        <v>103</v>
      </c>
      <c r="N11" s="81" t="s">
        <v>136</v>
      </c>
      <c r="Z11" s="116" t="s">
        <v>137</v>
      </c>
      <c r="AA11" s="116" t="s">
        <v>138</v>
      </c>
      <c r="AB11" s="116" t="s">
        <v>139</v>
      </c>
      <c r="AC11" s="116" t="s">
        <v>140</v>
      </c>
      <c r="AD11" s="116" t="s">
        <v>141</v>
      </c>
      <c r="AE11" s="116" t="s">
        <v>142</v>
      </c>
      <c r="AF11" s="116" t="s">
        <v>143</v>
      </c>
      <c r="AG11" s="116" t="s">
        <v>144</v>
      </c>
      <c r="AH11" s="116" t="s">
        <v>145</v>
      </c>
      <c r="BH11" s="116" t="s">
        <v>146</v>
      </c>
      <c r="BI11" s="116" t="s">
        <v>147</v>
      </c>
      <c r="BJ11" s="116" t="s">
        <v>148</v>
      </c>
    </row>
    <row r="12" customFormat="false" ht="19.85" hidden="false" customHeight="true" outlineLevel="0" collapsed="false">
      <c r="A12" s="84"/>
      <c r="B12" s="123" t="s">
        <v>104</v>
      </c>
      <c r="C12" s="123"/>
      <c r="D12" s="124" t="s">
        <v>105</v>
      </c>
      <c r="E12" s="124"/>
      <c r="F12" s="84" t="s">
        <v>97</v>
      </c>
      <c r="G12" s="125" t="s">
        <v>97</v>
      </c>
      <c r="H12" s="84" t="s">
        <v>97</v>
      </c>
      <c r="I12" s="126" t="n">
        <f aca="false">ROUND(SUM(I13,I22,I26,I28),2)</f>
        <v>0</v>
      </c>
      <c r="J12" s="126" t="n">
        <f aca="false">ROUND(SUM(J13,J22,J26,J28),2)</f>
        <v>0</v>
      </c>
      <c r="K12" s="126" t="n">
        <f aca="false">ROUND(SUM(K13,K22,K26,K28),2)</f>
        <v>0</v>
      </c>
      <c r="L12" s="127"/>
      <c r="M12" s="126" t="n">
        <f aca="false">SUM(M13,M22,M26,M28)</f>
        <v>10.9418528</v>
      </c>
      <c r="N12" s="127"/>
    </row>
    <row r="13" customFormat="false" ht="15" hidden="false" customHeight="true" outlineLevel="0" collapsed="false">
      <c r="A13" s="128"/>
      <c r="B13" s="129" t="s">
        <v>104</v>
      </c>
      <c r="C13" s="129" t="s">
        <v>149</v>
      </c>
      <c r="D13" s="130" t="s">
        <v>150</v>
      </c>
      <c r="E13" s="130"/>
      <c r="F13" s="128" t="s">
        <v>97</v>
      </c>
      <c r="G13" s="131" t="s">
        <v>97</v>
      </c>
      <c r="H13" s="128" t="s">
        <v>97</v>
      </c>
      <c r="I13" s="132" t="n">
        <f aca="false">ROUND(SUM(I14:I21),2)</f>
        <v>0</v>
      </c>
      <c r="J13" s="132" t="n">
        <f aca="false">ROUND(SUM(J14:J21),2)</f>
        <v>0</v>
      </c>
      <c r="K13" s="132" t="n">
        <f aca="false">ROUND(SUM(K14:K21),2)</f>
        <v>0</v>
      </c>
      <c r="L13" s="133"/>
      <c r="M13" s="132" t="n">
        <f aca="false">SUM(M14:M21)</f>
        <v>6.3009</v>
      </c>
      <c r="N13" s="133"/>
      <c r="AI13" s="116" t="s">
        <v>104</v>
      </c>
      <c r="AS13" s="107" t="n">
        <f aca="false">SUM(AJ14:AJ21)</f>
        <v>0</v>
      </c>
      <c r="AT13" s="107" t="n">
        <f aca="false">SUM(AK14:AK21)</f>
        <v>0</v>
      </c>
      <c r="AU13" s="107" t="n">
        <f aca="false">SUM(AL14:AL21)</f>
        <v>0</v>
      </c>
    </row>
    <row r="14" customFormat="false" ht="15" hidden="false" customHeight="true" outlineLevel="0" collapsed="false">
      <c r="A14" s="134" t="s">
        <v>151</v>
      </c>
      <c r="B14" s="134" t="s">
        <v>104</v>
      </c>
      <c r="C14" s="134" t="s">
        <v>152</v>
      </c>
      <c r="D14" s="135" t="s">
        <v>153</v>
      </c>
      <c r="E14" s="135"/>
      <c r="F14" s="134" t="s">
        <v>154</v>
      </c>
      <c r="G14" s="136" t="n">
        <v>22.7</v>
      </c>
      <c r="H14" s="137"/>
      <c r="I14" s="137" t="n">
        <f aca="false">ROUND(G14*AO14,2)</f>
        <v>0</v>
      </c>
      <c r="J14" s="137" t="n">
        <f aca="false">ROUND(G14*AP14,2)</f>
        <v>0</v>
      </c>
      <c r="K14" s="137" t="n">
        <f aca="false">ROUND(G14*H14,2)</f>
        <v>0</v>
      </c>
      <c r="L14" s="137" t="n">
        <v>0.125</v>
      </c>
      <c r="M14" s="137" t="n">
        <f aca="false">G14*L14</f>
        <v>2.8375</v>
      </c>
      <c r="N14" s="138" t="s">
        <v>155</v>
      </c>
      <c r="Z14" s="88" t="n">
        <f aca="false">ROUND(IF(AQ14="5",BJ14,0),2)</f>
        <v>0</v>
      </c>
      <c r="AB14" s="88" t="n">
        <f aca="false">ROUND(IF(AQ14="1",BH14,0),2)</f>
        <v>0</v>
      </c>
      <c r="AC14" s="88" t="n">
        <f aca="false">ROUND(IF(AQ14="1",BI14,0),2)</f>
        <v>0</v>
      </c>
      <c r="AD14" s="88" t="n">
        <f aca="false">ROUND(IF(AQ14="7",BH14,0),2)</f>
        <v>0</v>
      </c>
      <c r="AE14" s="88" t="n">
        <f aca="false">ROUND(IF(AQ14="7",BI14,0),2)</f>
        <v>0</v>
      </c>
      <c r="AF14" s="88" t="n">
        <f aca="false">ROUND(IF(AQ14="2",BH14,0),2)</f>
        <v>0</v>
      </c>
      <c r="AG14" s="88" t="n">
        <f aca="false">ROUND(IF(AQ14="2",BI14,0),2)</f>
        <v>0</v>
      </c>
      <c r="AH14" s="88" t="n">
        <f aca="false">ROUND(IF(AQ14="0",BJ14,0),2)</f>
        <v>0</v>
      </c>
      <c r="AI14" s="116" t="s">
        <v>104</v>
      </c>
      <c r="AJ14" s="88" t="n">
        <f aca="false">IF(AN14=0,K14,0)</f>
        <v>0</v>
      </c>
      <c r="AK14" s="88" t="n">
        <f aca="false">IF(AN14=12,K14,0)</f>
        <v>0</v>
      </c>
      <c r="AL14" s="88" t="n">
        <f aca="false">IF(AN14=21,K14,0)</f>
        <v>0</v>
      </c>
      <c r="AN14" s="88" t="n">
        <v>21</v>
      </c>
      <c r="AO14" s="88" t="n">
        <f aca="false">H14*0</f>
        <v>0</v>
      </c>
      <c r="AP14" s="88" t="n">
        <f aca="false">H14*(1-0)</f>
        <v>0</v>
      </c>
      <c r="AQ14" s="87" t="s">
        <v>151</v>
      </c>
      <c r="AV14" s="88" t="n">
        <f aca="false">ROUND(AW14+AX14,2)</f>
        <v>0</v>
      </c>
      <c r="AW14" s="88" t="n">
        <f aca="false">ROUND(G14*AO14,2)</f>
        <v>0</v>
      </c>
      <c r="AX14" s="88" t="n">
        <f aca="false">ROUND(G14*AP14,2)</f>
        <v>0</v>
      </c>
      <c r="AY14" s="87" t="s">
        <v>156</v>
      </c>
      <c r="AZ14" s="87" t="s">
        <v>157</v>
      </c>
      <c r="BA14" s="116" t="s">
        <v>158</v>
      </c>
      <c r="BC14" s="88" t="n">
        <f aca="false">AW14+AX14</f>
        <v>0</v>
      </c>
      <c r="BD14" s="88" t="n">
        <f aca="false">H14/(100-BE14)*100</f>
        <v>0</v>
      </c>
      <c r="BE14" s="88" t="n">
        <v>0</v>
      </c>
      <c r="BF14" s="88" t="n">
        <f aca="false">M14</f>
        <v>2.8375</v>
      </c>
      <c r="BH14" s="88" t="n">
        <f aca="false">G14*AO14</f>
        <v>0</v>
      </c>
      <c r="BI14" s="88" t="n">
        <f aca="false">G14*AP14</f>
        <v>0</v>
      </c>
      <c r="BJ14" s="88" t="n">
        <f aca="false">G14*H14</f>
        <v>0</v>
      </c>
      <c r="BK14" s="87" t="s">
        <v>159</v>
      </c>
      <c r="BL14" s="88" t="n">
        <v>11</v>
      </c>
      <c r="BW14" s="88" t="n">
        <v>21</v>
      </c>
      <c r="BX14" s="9" t="s">
        <v>153</v>
      </c>
    </row>
    <row r="15" customFormat="false" ht="15" hidden="false" customHeight="true" outlineLevel="0" collapsed="false">
      <c r="A15" s="134" t="s">
        <v>160</v>
      </c>
      <c r="B15" s="134" t="s">
        <v>104</v>
      </c>
      <c r="C15" s="134" t="s">
        <v>161</v>
      </c>
      <c r="D15" s="135" t="s">
        <v>162</v>
      </c>
      <c r="E15" s="135"/>
      <c r="F15" s="134" t="s">
        <v>163</v>
      </c>
      <c r="G15" s="136" t="n">
        <v>1</v>
      </c>
      <c r="H15" s="137"/>
      <c r="I15" s="137" t="n">
        <f aca="false">ROUND(G15*AO15,2)</f>
        <v>0</v>
      </c>
      <c r="J15" s="137" t="n">
        <f aca="false">ROUND(G15*AP15,2)</f>
        <v>0</v>
      </c>
      <c r="K15" s="137" t="n">
        <f aca="false">ROUND(G15*H15,2)</f>
        <v>0</v>
      </c>
      <c r="L15" s="137" t="n">
        <v>0.05</v>
      </c>
      <c r="M15" s="137" t="n">
        <f aca="false">G15*L15</f>
        <v>0.05</v>
      </c>
      <c r="N15" s="138" t="s">
        <v>155</v>
      </c>
      <c r="Z15" s="88" t="n">
        <f aca="false">ROUND(IF(AQ15="5",BJ15,0),2)</f>
        <v>0</v>
      </c>
      <c r="AB15" s="88" t="n">
        <f aca="false">ROUND(IF(AQ15="1",BH15,0),2)</f>
        <v>0</v>
      </c>
      <c r="AC15" s="88" t="n">
        <f aca="false">ROUND(IF(AQ15="1",BI15,0),2)</f>
        <v>0</v>
      </c>
      <c r="AD15" s="88" t="n">
        <f aca="false">ROUND(IF(AQ15="7",BH15,0),2)</f>
        <v>0</v>
      </c>
      <c r="AE15" s="88" t="n">
        <f aca="false">ROUND(IF(AQ15="7",BI15,0),2)</f>
        <v>0</v>
      </c>
      <c r="AF15" s="88" t="n">
        <f aca="false">ROUND(IF(AQ15="2",BH15,0),2)</f>
        <v>0</v>
      </c>
      <c r="AG15" s="88" t="n">
        <f aca="false">ROUND(IF(AQ15="2",BI15,0),2)</f>
        <v>0</v>
      </c>
      <c r="AH15" s="88" t="n">
        <f aca="false">ROUND(IF(AQ15="0",BJ15,0),2)</f>
        <v>0</v>
      </c>
      <c r="AI15" s="116" t="s">
        <v>104</v>
      </c>
      <c r="AJ15" s="88" t="n">
        <f aca="false">IF(AN15=0,K15,0)</f>
        <v>0</v>
      </c>
      <c r="AK15" s="88" t="n">
        <f aca="false">IF(AN15=12,K15,0)</f>
        <v>0</v>
      </c>
      <c r="AL15" s="88" t="n">
        <f aca="false">IF(AN15=21,K15,0)</f>
        <v>0</v>
      </c>
      <c r="AN15" s="88" t="n">
        <v>21</v>
      </c>
      <c r="AO15" s="88" t="n">
        <f aca="false">H15*0</f>
        <v>0</v>
      </c>
      <c r="AP15" s="88" t="n">
        <f aca="false">H15*(1-0)</f>
        <v>0</v>
      </c>
      <c r="AQ15" s="87" t="s">
        <v>151</v>
      </c>
      <c r="AV15" s="88" t="n">
        <f aca="false">ROUND(AW15+AX15,2)</f>
        <v>0</v>
      </c>
      <c r="AW15" s="88" t="n">
        <f aca="false">ROUND(G15*AO15,2)</f>
        <v>0</v>
      </c>
      <c r="AX15" s="88" t="n">
        <f aca="false">ROUND(G15*AP15,2)</f>
        <v>0</v>
      </c>
      <c r="AY15" s="87" t="s">
        <v>156</v>
      </c>
      <c r="AZ15" s="87" t="s">
        <v>157</v>
      </c>
      <c r="BA15" s="116" t="s">
        <v>158</v>
      </c>
      <c r="BC15" s="88" t="n">
        <f aca="false">AW15+AX15</f>
        <v>0</v>
      </c>
      <c r="BD15" s="88" t="n">
        <f aca="false">H15/(100-BE15)*100</f>
        <v>0</v>
      </c>
      <c r="BE15" s="88" t="n">
        <v>0</v>
      </c>
      <c r="BF15" s="88" t="n">
        <f aca="false">M15</f>
        <v>0.05</v>
      </c>
      <c r="BH15" s="88" t="n">
        <f aca="false">G15*AO15</f>
        <v>0</v>
      </c>
      <c r="BI15" s="88" t="n">
        <f aca="false">G15*AP15</f>
        <v>0</v>
      </c>
      <c r="BJ15" s="88" t="n">
        <f aca="false">G15*H15</f>
        <v>0</v>
      </c>
      <c r="BK15" s="87" t="s">
        <v>159</v>
      </c>
      <c r="BL15" s="88" t="n">
        <v>11</v>
      </c>
      <c r="BW15" s="88" t="n">
        <v>21</v>
      </c>
      <c r="BX15" s="9" t="s">
        <v>162</v>
      </c>
    </row>
    <row r="16" customFormat="false" ht="15" hidden="false" customHeight="true" outlineLevel="0" collapsed="false">
      <c r="A16" s="134" t="s">
        <v>164</v>
      </c>
      <c r="B16" s="134" t="s">
        <v>104</v>
      </c>
      <c r="C16" s="134" t="s">
        <v>161</v>
      </c>
      <c r="D16" s="135" t="s">
        <v>165</v>
      </c>
      <c r="E16" s="135"/>
      <c r="F16" s="134" t="s">
        <v>163</v>
      </c>
      <c r="G16" s="136" t="n">
        <v>5</v>
      </c>
      <c r="H16" s="137"/>
      <c r="I16" s="137" t="n">
        <f aca="false">ROUND(G16*AO16,2)</f>
        <v>0</v>
      </c>
      <c r="J16" s="137" t="n">
        <f aca="false">ROUND(G16*AP16,2)</f>
        <v>0</v>
      </c>
      <c r="K16" s="137" t="n">
        <f aca="false">ROUND(G16*H16,2)</f>
        <v>0</v>
      </c>
      <c r="L16" s="137" t="n">
        <v>0.15</v>
      </c>
      <c r="M16" s="137" t="n">
        <f aca="false">G16*L16</f>
        <v>0.75</v>
      </c>
      <c r="N16" s="138" t="s">
        <v>155</v>
      </c>
      <c r="Z16" s="88" t="n">
        <f aca="false">ROUND(IF(AQ16="5",BJ16,0),2)</f>
        <v>0</v>
      </c>
      <c r="AB16" s="88" t="n">
        <f aca="false">ROUND(IF(AQ16="1",BH16,0),2)</f>
        <v>0</v>
      </c>
      <c r="AC16" s="88" t="n">
        <f aca="false">ROUND(IF(AQ16="1",BI16,0),2)</f>
        <v>0</v>
      </c>
      <c r="AD16" s="88" t="n">
        <f aca="false">ROUND(IF(AQ16="7",BH16,0),2)</f>
        <v>0</v>
      </c>
      <c r="AE16" s="88" t="n">
        <f aca="false">ROUND(IF(AQ16="7",BI16,0),2)</f>
        <v>0</v>
      </c>
      <c r="AF16" s="88" t="n">
        <f aca="false">ROUND(IF(AQ16="2",BH16,0),2)</f>
        <v>0</v>
      </c>
      <c r="AG16" s="88" t="n">
        <f aca="false">ROUND(IF(AQ16="2",BI16,0),2)</f>
        <v>0</v>
      </c>
      <c r="AH16" s="88" t="n">
        <f aca="false">ROUND(IF(AQ16="0",BJ16,0),2)</f>
        <v>0</v>
      </c>
      <c r="AI16" s="116" t="s">
        <v>104</v>
      </c>
      <c r="AJ16" s="88" t="n">
        <f aca="false">IF(AN16=0,K16,0)</f>
        <v>0</v>
      </c>
      <c r="AK16" s="88" t="n">
        <f aca="false">IF(AN16=12,K16,0)</f>
        <v>0</v>
      </c>
      <c r="AL16" s="88" t="n">
        <f aca="false">IF(AN16=21,K16,0)</f>
        <v>0</v>
      </c>
      <c r="AN16" s="88" t="n">
        <v>21</v>
      </c>
      <c r="AO16" s="88" t="n">
        <f aca="false">H16*0</f>
        <v>0</v>
      </c>
      <c r="AP16" s="88" t="n">
        <f aca="false">H16*(1-0)</f>
        <v>0</v>
      </c>
      <c r="AQ16" s="87" t="s">
        <v>151</v>
      </c>
      <c r="AV16" s="88" t="n">
        <f aca="false">ROUND(AW16+AX16,2)</f>
        <v>0</v>
      </c>
      <c r="AW16" s="88" t="n">
        <f aca="false">ROUND(G16*AO16,2)</f>
        <v>0</v>
      </c>
      <c r="AX16" s="88" t="n">
        <f aca="false">ROUND(G16*AP16,2)</f>
        <v>0</v>
      </c>
      <c r="AY16" s="87" t="s">
        <v>156</v>
      </c>
      <c r="AZ16" s="87" t="s">
        <v>157</v>
      </c>
      <c r="BA16" s="116" t="s">
        <v>158</v>
      </c>
      <c r="BC16" s="88" t="n">
        <f aca="false">AW16+AX16</f>
        <v>0</v>
      </c>
      <c r="BD16" s="88" t="n">
        <f aca="false">H16/(100-BE16)*100</f>
        <v>0</v>
      </c>
      <c r="BE16" s="88" t="n">
        <v>0</v>
      </c>
      <c r="BF16" s="88" t="n">
        <f aca="false">M16</f>
        <v>0.75</v>
      </c>
      <c r="BH16" s="88" t="n">
        <f aca="false">G16*AO16</f>
        <v>0</v>
      </c>
      <c r="BI16" s="88" t="n">
        <f aca="false">G16*AP16</f>
        <v>0</v>
      </c>
      <c r="BJ16" s="88" t="n">
        <f aca="false">G16*H16</f>
        <v>0</v>
      </c>
      <c r="BK16" s="87" t="s">
        <v>159</v>
      </c>
      <c r="BL16" s="88" t="n">
        <v>11</v>
      </c>
      <c r="BW16" s="88" t="n">
        <v>21</v>
      </c>
      <c r="BX16" s="9" t="s">
        <v>165</v>
      </c>
    </row>
    <row r="17" customFormat="false" ht="15" hidden="false" customHeight="true" outlineLevel="0" collapsed="false">
      <c r="A17" s="134" t="s">
        <v>166</v>
      </c>
      <c r="B17" s="134" t="s">
        <v>104</v>
      </c>
      <c r="C17" s="134" t="s">
        <v>167</v>
      </c>
      <c r="D17" s="135" t="s">
        <v>168</v>
      </c>
      <c r="E17" s="135"/>
      <c r="F17" s="134" t="s">
        <v>169</v>
      </c>
      <c r="G17" s="136" t="n">
        <v>6</v>
      </c>
      <c r="H17" s="137"/>
      <c r="I17" s="137" t="n">
        <f aca="false">ROUND(G17*AO17,2)</f>
        <v>0</v>
      </c>
      <c r="J17" s="137" t="n">
        <f aca="false">ROUND(G17*AP17,2)</f>
        <v>0</v>
      </c>
      <c r="K17" s="137" t="n">
        <f aca="false">ROUND(G17*H17,2)</f>
        <v>0</v>
      </c>
      <c r="L17" s="137" t="n">
        <v>0.11</v>
      </c>
      <c r="M17" s="137" t="n">
        <f aca="false">G17*L17</f>
        <v>0.66</v>
      </c>
      <c r="N17" s="138" t="s">
        <v>155</v>
      </c>
      <c r="Z17" s="88" t="n">
        <f aca="false">ROUND(IF(AQ17="5",BJ17,0),2)</f>
        <v>0</v>
      </c>
      <c r="AB17" s="88" t="n">
        <f aca="false">ROUND(IF(AQ17="1",BH17,0),2)</f>
        <v>0</v>
      </c>
      <c r="AC17" s="88" t="n">
        <f aca="false">ROUND(IF(AQ17="1",BI17,0),2)</f>
        <v>0</v>
      </c>
      <c r="AD17" s="88" t="n">
        <f aca="false">ROUND(IF(AQ17="7",BH17,0),2)</f>
        <v>0</v>
      </c>
      <c r="AE17" s="88" t="n">
        <f aca="false">ROUND(IF(AQ17="7",BI17,0),2)</f>
        <v>0</v>
      </c>
      <c r="AF17" s="88" t="n">
        <f aca="false">ROUND(IF(AQ17="2",BH17,0),2)</f>
        <v>0</v>
      </c>
      <c r="AG17" s="88" t="n">
        <f aca="false">ROUND(IF(AQ17="2",BI17,0),2)</f>
        <v>0</v>
      </c>
      <c r="AH17" s="88" t="n">
        <f aca="false">ROUND(IF(AQ17="0",BJ17,0),2)</f>
        <v>0</v>
      </c>
      <c r="AI17" s="116" t="s">
        <v>104</v>
      </c>
      <c r="AJ17" s="88" t="n">
        <f aca="false">IF(AN17=0,K17,0)</f>
        <v>0</v>
      </c>
      <c r="AK17" s="88" t="n">
        <f aca="false">IF(AN17=12,K17,0)</f>
        <v>0</v>
      </c>
      <c r="AL17" s="88" t="n">
        <f aca="false">IF(AN17=21,K17,0)</f>
        <v>0</v>
      </c>
      <c r="AN17" s="88" t="n">
        <v>21</v>
      </c>
      <c r="AO17" s="88" t="n">
        <f aca="false">H17*0</f>
        <v>0</v>
      </c>
      <c r="AP17" s="88" t="n">
        <f aca="false">H17*(1-0)</f>
        <v>0</v>
      </c>
      <c r="AQ17" s="87" t="s">
        <v>151</v>
      </c>
      <c r="AV17" s="88" t="n">
        <f aca="false">ROUND(AW17+AX17,2)</f>
        <v>0</v>
      </c>
      <c r="AW17" s="88" t="n">
        <f aca="false">ROUND(G17*AO17,2)</f>
        <v>0</v>
      </c>
      <c r="AX17" s="88" t="n">
        <f aca="false">ROUND(G17*AP17,2)</f>
        <v>0</v>
      </c>
      <c r="AY17" s="87" t="s">
        <v>156</v>
      </c>
      <c r="AZ17" s="87" t="s">
        <v>157</v>
      </c>
      <c r="BA17" s="116" t="s">
        <v>158</v>
      </c>
      <c r="BC17" s="88" t="n">
        <f aca="false">AW17+AX17</f>
        <v>0</v>
      </c>
      <c r="BD17" s="88" t="n">
        <f aca="false">H17/(100-BE17)*100</f>
        <v>0</v>
      </c>
      <c r="BE17" s="88" t="n">
        <v>0</v>
      </c>
      <c r="BF17" s="88" t="n">
        <f aca="false">M17</f>
        <v>0.66</v>
      </c>
      <c r="BH17" s="88" t="n">
        <f aca="false">G17*AO17</f>
        <v>0</v>
      </c>
      <c r="BI17" s="88" t="n">
        <f aca="false">G17*AP17</f>
        <v>0</v>
      </c>
      <c r="BJ17" s="88" t="n">
        <f aca="false">G17*H17</f>
        <v>0</v>
      </c>
      <c r="BK17" s="87" t="s">
        <v>159</v>
      </c>
      <c r="BL17" s="88" t="n">
        <v>11</v>
      </c>
      <c r="BW17" s="88" t="n">
        <v>21</v>
      </c>
      <c r="BX17" s="9" t="s">
        <v>168</v>
      </c>
    </row>
    <row r="18" customFormat="false" ht="15" hidden="false" customHeight="true" outlineLevel="0" collapsed="false">
      <c r="A18" s="134" t="s">
        <v>170</v>
      </c>
      <c r="B18" s="134" t="s">
        <v>104</v>
      </c>
      <c r="C18" s="134" t="s">
        <v>171</v>
      </c>
      <c r="D18" s="135" t="s">
        <v>172</v>
      </c>
      <c r="E18" s="135"/>
      <c r="F18" s="134" t="s">
        <v>169</v>
      </c>
      <c r="G18" s="136" t="n">
        <v>6</v>
      </c>
      <c r="H18" s="137"/>
      <c r="I18" s="137" t="n">
        <f aca="false">ROUND(G18*AO18,2)</f>
        <v>0</v>
      </c>
      <c r="J18" s="137" t="n">
        <f aca="false">ROUND(G18*AP18,2)</f>
        <v>0</v>
      </c>
      <c r="K18" s="137" t="n">
        <f aca="false">ROUND(G18*H18,2)</f>
        <v>0</v>
      </c>
      <c r="L18" s="137" t="n">
        <v>0.12</v>
      </c>
      <c r="M18" s="137" t="n">
        <f aca="false">G18*L18</f>
        <v>0.72</v>
      </c>
      <c r="N18" s="138" t="s">
        <v>155</v>
      </c>
      <c r="Z18" s="88" t="n">
        <f aca="false">ROUND(IF(AQ18="5",BJ18,0),2)</f>
        <v>0</v>
      </c>
      <c r="AB18" s="88" t="n">
        <f aca="false">ROUND(IF(AQ18="1",BH18,0),2)</f>
        <v>0</v>
      </c>
      <c r="AC18" s="88" t="n">
        <f aca="false">ROUND(IF(AQ18="1",BI18,0),2)</f>
        <v>0</v>
      </c>
      <c r="AD18" s="88" t="n">
        <f aca="false">ROUND(IF(AQ18="7",BH18,0),2)</f>
        <v>0</v>
      </c>
      <c r="AE18" s="88" t="n">
        <f aca="false">ROUND(IF(AQ18="7",BI18,0),2)</f>
        <v>0</v>
      </c>
      <c r="AF18" s="88" t="n">
        <f aca="false">ROUND(IF(AQ18="2",BH18,0),2)</f>
        <v>0</v>
      </c>
      <c r="AG18" s="88" t="n">
        <f aca="false">ROUND(IF(AQ18="2",BI18,0),2)</f>
        <v>0</v>
      </c>
      <c r="AH18" s="88" t="n">
        <f aca="false">ROUND(IF(AQ18="0",BJ18,0),2)</f>
        <v>0</v>
      </c>
      <c r="AI18" s="116" t="s">
        <v>104</v>
      </c>
      <c r="AJ18" s="88" t="n">
        <f aca="false">IF(AN18=0,K18,0)</f>
        <v>0</v>
      </c>
      <c r="AK18" s="88" t="n">
        <f aca="false">IF(AN18=12,K18,0)</f>
        <v>0</v>
      </c>
      <c r="AL18" s="88" t="n">
        <f aca="false">IF(AN18=21,K18,0)</f>
        <v>0</v>
      </c>
      <c r="AN18" s="88" t="n">
        <v>21</v>
      </c>
      <c r="AO18" s="88" t="n">
        <f aca="false">H18*0</f>
        <v>0</v>
      </c>
      <c r="AP18" s="88" t="n">
        <f aca="false">H18*(1-0)</f>
        <v>0</v>
      </c>
      <c r="AQ18" s="87" t="s">
        <v>151</v>
      </c>
      <c r="AV18" s="88" t="n">
        <f aca="false">ROUND(AW18+AX18,2)</f>
        <v>0</v>
      </c>
      <c r="AW18" s="88" t="n">
        <f aca="false">ROUND(G18*AO18,2)</f>
        <v>0</v>
      </c>
      <c r="AX18" s="88" t="n">
        <f aca="false">ROUND(G18*AP18,2)</f>
        <v>0</v>
      </c>
      <c r="AY18" s="87" t="s">
        <v>156</v>
      </c>
      <c r="AZ18" s="87" t="s">
        <v>157</v>
      </c>
      <c r="BA18" s="116" t="s">
        <v>158</v>
      </c>
      <c r="BC18" s="88" t="n">
        <f aca="false">AW18+AX18</f>
        <v>0</v>
      </c>
      <c r="BD18" s="88" t="n">
        <f aca="false">H18/(100-BE18)*100</f>
        <v>0</v>
      </c>
      <c r="BE18" s="88" t="n">
        <v>0</v>
      </c>
      <c r="BF18" s="88" t="n">
        <f aca="false">M18</f>
        <v>0.72</v>
      </c>
      <c r="BH18" s="88" t="n">
        <f aca="false">G18*AO18</f>
        <v>0</v>
      </c>
      <c r="BI18" s="88" t="n">
        <f aca="false">G18*AP18</f>
        <v>0</v>
      </c>
      <c r="BJ18" s="88" t="n">
        <f aca="false">G18*H18</f>
        <v>0</v>
      </c>
      <c r="BK18" s="87" t="s">
        <v>159</v>
      </c>
      <c r="BL18" s="88" t="n">
        <v>11</v>
      </c>
      <c r="BW18" s="88" t="n">
        <v>21</v>
      </c>
      <c r="BX18" s="9" t="s">
        <v>172</v>
      </c>
    </row>
    <row r="19" customFormat="false" ht="15" hidden="false" customHeight="true" outlineLevel="0" collapsed="false">
      <c r="A19" s="134" t="s">
        <v>173</v>
      </c>
      <c r="B19" s="134" t="s">
        <v>104</v>
      </c>
      <c r="C19" s="134" t="s">
        <v>174</v>
      </c>
      <c r="D19" s="135" t="s">
        <v>175</v>
      </c>
      <c r="E19" s="135"/>
      <c r="F19" s="134" t="s">
        <v>169</v>
      </c>
      <c r="G19" s="136" t="n">
        <v>12</v>
      </c>
      <c r="H19" s="137"/>
      <c r="I19" s="137" t="n">
        <f aca="false">ROUND(G19*AO19,2)</f>
        <v>0</v>
      </c>
      <c r="J19" s="137" t="n">
        <f aca="false">ROUND(G19*AP19,2)</f>
        <v>0</v>
      </c>
      <c r="K19" s="137" t="n">
        <f aca="false">ROUND(G19*H19,2)</f>
        <v>0</v>
      </c>
      <c r="L19" s="137" t="n">
        <v>0.05095</v>
      </c>
      <c r="M19" s="137" t="n">
        <f aca="false">G19*L19</f>
        <v>0.6114</v>
      </c>
      <c r="N19" s="138" t="s">
        <v>155</v>
      </c>
      <c r="Z19" s="88" t="n">
        <f aca="false">ROUND(IF(AQ19="5",BJ19,0),2)</f>
        <v>0</v>
      </c>
      <c r="AB19" s="88" t="n">
        <f aca="false">ROUND(IF(AQ19="1",BH19,0),2)</f>
        <v>0</v>
      </c>
      <c r="AC19" s="88" t="n">
        <f aca="false">ROUND(IF(AQ19="1",BI19,0),2)</f>
        <v>0</v>
      </c>
      <c r="AD19" s="88" t="n">
        <f aca="false">ROUND(IF(AQ19="7",BH19,0),2)</f>
        <v>0</v>
      </c>
      <c r="AE19" s="88" t="n">
        <f aca="false">ROUND(IF(AQ19="7",BI19,0),2)</f>
        <v>0</v>
      </c>
      <c r="AF19" s="88" t="n">
        <f aca="false">ROUND(IF(AQ19="2",BH19,0),2)</f>
        <v>0</v>
      </c>
      <c r="AG19" s="88" t="n">
        <f aca="false">ROUND(IF(AQ19="2",BI19,0),2)</f>
        <v>0</v>
      </c>
      <c r="AH19" s="88" t="n">
        <f aca="false">ROUND(IF(AQ19="0",BJ19,0),2)</f>
        <v>0</v>
      </c>
      <c r="AI19" s="116" t="s">
        <v>104</v>
      </c>
      <c r="AJ19" s="88" t="n">
        <f aca="false">IF(AN19=0,K19,0)</f>
        <v>0</v>
      </c>
      <c r="AK19" s="88" t="n">
        <f aca="false">IF(AN19=12,K19,0)</f>
        <v>0</v>
      </c>
      <c r="AL19" s="88" t="n">
        <f aca="false">IF(AN19=21,K19,0)</f>
        <v>0</v>
      </c>
      <c r="AN19" s="88" t="n">
        <v>21</v>
      </c>
      <c r="AO19" s="88" t="n">
        <f aca="false">H19*0.12622393</f>
        <v>0</v>
      </c>
      <c r="AP19" s="88" t="n">
        <f aca="false">H19*(1-0.12622393)</f>
        <v>0</v>
      </c>
      <c r="AQ19" s="87" t="s">
        <v>151</v>
      </c>
      <c r="AV19" s="88" t="n">
        <f aca="false">ROUND(AW19+AX19,2)</f>
        <v>0</v>
      </c>
      <c r="AW19" s="88" t="n">
        <f aca="false">ROUND(G19*AO19,2)</f>
        <v>0</v>
      </c>
      <c r="AX19" s="88" t="n">
        <f aca="false">ROUND(G19*AP19,2)</f>
        <v>0</v>
      </c>
      <c r="AY19" s="87" t="s">
        <v>156</v>
      </c>
      <c r="AZ19" s="87" t="s">
        <v>157</v>
      </c>
      <c r="BA19" s="116" t="s">
        <v>158</v>
      </c>
      <c r="BC19" s="88" t="n">
        <f aca="false">AW19+AX19</f>
        <v>0</v>
      </c>
      <c r="BD19" s="88" t="n">
        <f aca="false">H19/(100-BE19)*100</f>
        <v>0</v>
      </c>
      <c r="BE19" s="88" t="n">
        <v>0</v>
      </c>
      <c r="BF19" s="88" t="n">
        <f aca="false">M19</f>
        <v>0.6114</v>
      </c>
      <c r="BH19" s="88" t="n">
        <f aca="false">G19*AO19</f>
        <v>0</v>
      </c>
      <c r="BI19" s="88" t="n">
        <f aca="false">G19*AP19</f>
        <v>0</v>
      </c>
      <c r="BJ19" s="88" t="n">
        <f aca="false">G19*H19</f>
        <v>0</v>
      </c>
      <c r="BK19" s="87" t="s">
        <v>159</v>
      </c>
      <c r="BL19" s="88" t="n">
        <v>11</v>
      </c>
      <c r="BW19" s="88" t="n">
        <v>21</v>
      </c>
      <c r="BX19" s="9" t="s">
        <v>175</v>
      </c>
    </row>
    <row r="20" customFormat="false" ht="15" hidden="false" customHeight="true" outlineLevel="0" collapsed="false">
      <c r="A20" s="139" t="s">
        <v>176</v>
      </c>
      <c r="B20" s="139" t="s">
        <v>104</v>
      </c>
      <c r="C20" s="139" t="s">
        <v>177</v>
      </c>
      <c r="D20" s="140" t="s">
        <v>178</v>
      </c>
      <c r="E20" s="140"/>
      <c r="F20" s="139" t="s">
        <v>179</v>
      </c>
      <c r="G20" s="141" t="n">
        <v>0.672</v>
      </c>
      <c r="H20" s="142"/>
      <c r="I20" s="142" t="n">
        <f aca="false">ROUND(G20*AO20,2)</f>
        <v>0</v>
      </c>
      <c r="J20" s="142" t="n">
        <f aca="false">ROUND(G20*AP20,2)</f>
        <v>0</v>
      </c>
      <c r="K20" s="142" t="n">
        <f aca="false">ROUND(G20*H20,2)</f>
        <v>0</v>
      </c>
      <c r="L20" s="142" t="n">
        <v>1</v>
      </c>
      <c r="M20" s="142" t="n">
        <f aca="false">G20*L20</f>
        <v>0.672</v>
      </c>
      <c r="N20" s="143" t="s">
        <v>155</v>
      </c>
      <c r="Z20" s="88" t="n">
        <f aca="false">ROUND(IF(AQ20="5",BJ20,0),2)</f>
        <v>0</v>
      </c>
      <c r="AB20" s="88" t="n">
        <f aca="false">ROUND(IF(AQ20="1",BH20,0),2)</f>
        <v>0</v>
      </c>
      <c r="AC20" s="88" t="n">
        <f aca="false">ROUND(IF(AQ20="1",BI20,0),2)</f>
        <v>0</v>
      </c>
      <c r="AD20" s="88" t="n">
        <f aca="false">ROUND(IF(AQ20="7",BH20,0),2)</f>
        <v>0</v>
      </c>
      <c r="AE20" s="88" t="n">
        <f aca="false">ROUND(IF(AQ20="7",BI20,0),2)</f>
        <v>0</v>
      </c>
      <c r="AF20" s="88" t="n">
        <f aca="false">ROUND(IF(AQ20="2",BH20,0),2)</f>
        <v>0</v>
      </c>
      <c r="AG20" s="88" t="n">
        <f aca="false">ROUND(IF(AQ20="2",BI20,0),2)</f>
        <v>0</v>
      </c>
      <c r="AH20" s="88" t="n">
        <f aca="false">ROUND(IF(AQ20="0",BJ20,0),2)</f>
        <v>0</v>
      </c>
      <c r="AI20" s="116" t="s">
        <v>104</v>
      </c>
      <c r="AJ20" s="144" t="n">
        <f aca="false">IF(AN20=0,K20,0)</f>
        <v>0</v>
      </c>
      <c r="AK20" s="144" t="n">
        <f aca="false">IF(AN20=12,K20,0)</f>
        <v>0</v>
      </c>
      <c r="AL20" s="144" t="n">
        <f aca="false">IF(AN20=21,K20,0)</f>
        <v>0</v>
      </c>
      <c r="AN20" s="88" t="n">
        <v>21</v>
      </c>
      <c r="AO20" s="88" t="n">
        <f aca="false">H20*1</f>
        <v>0</v>
      </c>
      <c r="AP20" s="88" t="n">
        <f aca="false">H20*(1-1)</f>
        <v>0</v>
      </c>
      <c r="AQ20" s="145" t="s">
        <v>151</v>
      </c>
      <c r="AV20" s="88" t="n">
        <f aca="false">ROUND(AW20+AX20,2)</f>
        <v>0</v>
      </c>
      <c r="AW20" s="88" t="n">
        <f aca="false">ROUND(G20*AO20,2)</f>
        <v>0</v>
      </c>
      <c r="AX20" s="88" t="n">
        <f aca="false">ROUND(G20*AP20,2)</f>
        <v>0</v>
      </c>
      <c r="AY20" s="87" t="s">
        <v>156</v>
      </c>
      <c r="AZ20" s="87" t="s">
        <v>157</v>
      </c>
      <c r="BA20" s="116" t="s">
        <v>158</v>
      </c>
      <c r="BC20" s="88" t="n">
        <f aca="false">AW20+AX20</f>
        <v>0</v>
      </c>
      <c r="BD20" s="88" t="n">
        <f aca="false">H20/(100-BE20)*100</f>
        <v>0</v>
      </c>
      <c r="BE20" s="88" t="n">
        <v>0</v>
      </c>
      <c r="BF20" s="88" t="n">
        <f aca="false">M20</f>
        <v>0.672</v>
      </c>
      <c r="BH20" s="144" t="n">
        <f aca="false">G20*AO20</f>
        <v>0</v>
      </c>
      <c r="BI20" s="144" t="n">
        <f aca="false">G20*AP20</f>
        <v>0</v>
      </c>
      <c r="BJ20" s="144" t="n">
        <f aca="false">G20*H20</f>
        <v>0</v>
      </c>
      <c r="BK20" s="145" t="s">
        <v>180</v>
      </c>
      <c r="BL20" s="88" t="n">
        <v>11</v>
      </c>
      <c r="BW20" s="88" t="n">
        <v>21</v>
      </c>
      <c r="BX20" s="146" t="s">
        <v>178</v>
      </c>
    </row>
    <row r="21" customFormat="false" ht="15" hidden="false" customHeight="true" outlineLevel="0" collapsed="false">
      <c r="A21" s="134" t="s">
        <v>181</v>
      </c>
      <c r="B21" s="134" t="s">
        <v>104</v>
      </c>
      <c r="C21" s="134" t="s">
        <v>182</v>
      </c>
      <c r="D21" s="135" t="s">
        <v>183</v>
      </c>
      <c r="E21" s="135"/>
      <c r="F21" s="134" t="s">
        <v>179</v>
      </c>
      <c r="G21" s="136" t="n">
        <v>0.611</v>
      </c>
      <c r="H21" s="137"/>
      <c r="I21" s="137" t="n">
        <f aca="false">ROUND(G21*AO21,2)</f>
        <v>0</v>
      </c>
      <c r="J21" s="137" t="n">
        <f aca="false">ROUND(G21*AP21,2)</f>
        <v>0</v>
      </c>
      <c r="K21" s="137" t="n">
        <f aca="false">ROUND(G21*H21,2)</f>
        <v>0</v>
      </c>
      <c r="L21" s="137" t="n">
        <v>0</v>
      </c>
      <c r="M21" s="137" t="n">
        <f aca="false">G21*L21</f>
        <v>0</v>
      </c>
      <c r="N21" s="138" t="s">
        <v>155</v>
      </c>
      <c r="Z21" s="88" t="n">
        <f aca="false">ROUND(IF(AQ21="5",BJ21,0),2)</f>
        <v>0</v>
      </c>
      <c r="AB21" s="88" t="n">
        <f aca="false">ROUND(IF(AQ21="1",BH21,0),2)</f>
        <v>0</v>
      </c>
      <c r="AC21" s="88" t="n">
        <f aca="false">ROUND(IF(AQ21="1",BI21,0),2)</f>
        <v>0</v>
      </c>
      <c r="AD21" s="88" t="n">
        <f aca="false">ROUND(IF(AQ21="7",BH21,0),2)</f>
        <v>0</v>
      </c>
      <c r="AE21" s="88" t="n">
        <f aca="false">ROUND(IF(AQ21="7",BI21,0),2)</f>
        <v>0</v>
      </c>
      <c r="AF21" s="88" t="n">
        <f aca="false">ROUND(IF(AQ21="2",BH21,0),2)</f>
        <v>0</v>
      </c>
      <c r="AG21" s="88" t="n">
        <f aca="false">ROUND(IF(AQ21="2",BI21,0),2)</f>
        <v>0</v>
      </c>
      <c r="AH21" s="88" t="n">
        <f aca="false">ROUND(IF(AQ21="0",BJ21,0),2)</f>
        <v>0</v>
      </c>
      <c r="AI21" s="116" t="s">
        <v>104</v>
      </c>
      <c r="AJ21" s="88" t="n">
        <f aca="false">IF(AN21=0,K21,0)</f>
        <v>0</v>
      </c>
      <c r="AK21" s="88" t="n">
        <f aca="false">IF(AN21=12,K21,0)</f>
        <v>0</v>
      </c>
      <c r="AL21" s="88" t="n">
        <f aca="false">IF(AN21=21,K21,0)</f>
        <v>0</v>
      </c>
      <c r="AN21" s="88" t="n">
        <v>21</v>
      </c>
      <c r="AO21" s="88" t="n">
        <f aca="false">H21*0</f>
        <v>0</v>
      </c>
      <c r="AP21" s="88" t="n">
        <f aca="false">H21*(1-0)</f>
        <v>0</v>
      </c>
      <c r="AQ21" s="87" t="s">
        <v>170</v>
      </c>
      <c r="AV21" s="88" t="n">
        <f aca="false">ROUND(AW21+AX21,2)</f>
        <v>0</v>
      </c>
      <c r="AW21" s="88" t="n">
        <f aca="false">ROUND(G21*AO21,2)</f>
        <v>0</v>
      </c>
      <c r="AX21" s="88" t="n">
        <f aca="false">ROUND(G21*AP21,2)</f>
        <v>0</v>
      </c>
      <c r="AY21" s="87" t="s">
        <v>156</v>
      </c>
      <c r="AZ21" s="87" t="s">
        <v>157</v>
      </c>
      <c r="BA21" s="116" t="s">
        <v>158</v>
      </c>
      <c r="BC21" s="88" t="n">
        <f aca="false">AW21+AX21</f>
        <v>0</v>
      </c>
      <c r="BD21" s="88" t="n">
        <f aca="false">H21/(100-BE21)*100</f>
        <v>0</v>
      </c>
      <c r="BE21" s="88" t="n">
        <v>0</v>
      </c>
      <c r="BF21" s="88" t="n">
        <f aca="false">M21</f>
        <v>0</v>
      </c>
      <c r="BH21" s="88" t="n">
        <f aca="false">G21*AO21</f>
        <v>0</v>
      </c>
      <c r="BI21" s="88" t="n">
        <f aca="false">G21*AP21</f>
        <v>0</v>
      </c>
      <c r="BJ21" s="88" t="n">
        <f aca="false">G21*H21</f>
        <v>0</v>
      </c>
      <c r="BK21" s="87" t="s">
        <v>159</v>
      </c>
      <c r="BL21" s="88" t="n">
        <v>11</v>
      </c>
      <c r="BW21" s="88" t="n">
        <v>21</v>
      </c>
      <c r="BX21" s="9" t="s">
        <v>183</v>
      </c>
    </row>
    <row r="22" customFormat="false" ht="15" hidden="false" customHeight="true" outlineLevel="0" collapsed="false">
      <c r="A22" s="128"/>
      <c r="B22" s="129" t="s">
        <v>104</v>
      </c>
      <c r="C22" s="129" t="s">
        <v>184</v>
      </c>
      <c r="D22" s="130" t="s">
        <v>185</v>
      </c>
      <c r="E22" s="130"/>
      <c r="F22" s="128" t="s">
        <v>97</v>
      </c>
      <c r="G22" s="131" t="s">
        <v>97</v>
      </c>
      <c r="H22" s="128"/>
      <c r="I22" s="132" t="n">
        <f aca="false">ROUND(SUM(I23:I25),2)</f>
        <v>0</v>
      </c>
      <c r="J22" s="132" t="n">
        <f aca="false">ROUND(SUM(J23:J25),2)</f>
        <v>0</v>
      </c>
      <c r="K22" s="132" t="n">
        <f aca="false">ROUND(SUM(K23:K25),2)</f>
        <v>0</v>
      </c>
      <c r="L22" s="133"/>
      <c r="M22" s="132" t="n">
        <f aca="false">SUM(M23:M25)</f>
        <v>4.4306528</v>
      </c>
      <c r="N22" s="133"/>
      <c r="AI22" s="116" t="s">
        <v>104</v>
      </c>
      <c r="AS22" s="107" t="n">
        <f aca="false">SUM(AJ23:AJ25)</f>
        <v>0</v>
      </c>
      <c r="AT22" s="107" t="n">
        <f aca="false">SUM(AK23:AK25)</f>
        <v>0</v>
      </c>
      <c r="AU22" s="107" t="n">
        <f aca="false">SUM(AL23:AL25)</f>
        <v>0</v>
      </c>
    </row>
    <row r="23" customFormat="false" ht="15" hidden="false" customHeight="true" outlineLevel="0" collapsed="false">
      <c r="A23" s="134" t="s">
        <v>186</v>
      </c>
      <c r="B23" s="134" t="s">
        <v>104</v>
      </c>
      <c r="C23" s="134" t="s">
        <v>187</v>
      </c>
      <c r="D23" s="135" t="s">
        <v>188</v>
      </c>
      <c r="E23" s="135"/>
      <c r="F23" s="134" t="s">
        <v>189</v>
      </c>
      <c r="G23" s="136" t="n">
        <v>0.681</v>
      </c>
      <c r="H23" s="137"/>
      <c r="I23" s="137" t="n">
        <f aca="false">ROUND(G23*AO23,2)</f>
        <v>0</v>
      </c>
      <c r="J23" s="137" t="n">
        <f aca="false">ROUND(G23*AP23,2)</f>
        <v>0</v>
      </c>
      <c r="K23" s="137" t="n">
        <f aca="false">ROUND(G23*H23,2)</f>
        <v>0</v>
      </c>
      <c r="L23" s="137" t="n">
        <v>2</v>
      </c>
      <c r="M23" s="137" t="n">
        <f aca="false">G23*L23</f>
        <v>1.362</v>
      </c>
      <c r="N23" s="138" t="s">
        <v>155</v>
      </c>
      <c r="Z23" s="88" t="n">
        <f aca="false">ROUND(IF(AQ23="5",BJ23,0),2)</f>
        <v>0</v>
      </c>
      <c r="AB23" s="88" t="n">
        <f aca="false">ROUND(IF(AQ23="1",BH23,0),2)</f>
        <v>0</v>
      </c>
      <c r="AC23" s="88" t="n">
        <f aca="false">ROUND(IF(AQ23="1",BI23,0),2)</f>
        <v>0</v>
      </c>
      <c r="AD23" s="88" t="n">
        <f aca="false">ROUND(IF(AQ23="7",BH23,0),2)</f>
        <v>0</v>
      </c>
      <c r="AE23" s="88" t="n">
        <f aca="false">ROUND(IF(AQ23="7",BI23,0),2)</f>
        <v>0</v>
      </c>
      <c r="AF23" s="88" t="n">
        <f aca="false">ROUND(IF(AQ23="2",BH23,0),2)</f>
        <v>0</v>
      </c>
      <c r="AG23" s="88" t="n">
        <f aca="false">ROUND(IF(AQ23="2",BI23,0),2)</f>
        <v>0</v>
      </c>
      <c r="AH23" s="88" t="n">
        <f aca="false">ROUND(IF(AQ23="0",BJ23,0),2)</f>
        <v>0</v>
      </c>
      <c r="AI23" s="116" t="s">
        <v>104</v>
      </c>
      <c r="AJ23" s="88" t="n">
        <f aca="false">IF(AN23=0,K23,0)</f>
        <v>0</v>
      </c>
      <c r="AK23" s="88" t="n">
        <f aca="false">IF(AN23=12,K23,0)</f>
        <v>0</v>
      </c>
      <c r="AL23" s="88" t="n">
        <f aca="false">IF(AN23=21,K23,0)</f>
        <v>0</v>
      </c>
      <c r="AN23" s="88" t="n">
        <v>21</v>
      </c>
      <c r="AO23" s="88" t="n">
        <f aca="false">H23*0</f>
        <v>0</v>
      </c>
      <c r="AP23" s="88" t="n">
        <f aca="false">H23*(1-0)</f>
        <v>0</v>
      </c>
      <c r="AQ23" s="87" t="s">
        <v>151</v>
      </c>
      <c r="AV23" s="88" t="n">
        <f aca="false">ROUND(AW23+AX23,2)</f>
        <v>0</v>
      </c>
      <c r="AW23" s="88" t="n">
        <f aca="false">ROUND(G23*AO23,2)</f>
        <v>0</v>
      </c>
      <c r="AX23" s="88" t="n">
        <f aca="false">ROUND(G23*AP23,2)</f>
        <v>0</v>
      </c>
      <c r="AY23" s="87" t="s">
        <v>190</v>
      </c>
      <c r="AZ23" s="87" t="s">
        <v>191</v>
      </c>
      <c r="BA23" s="116" t="s">
        <v>158</v>
      </c>
      <c r="BC23" s="88" t="n">
        <f aca="false">AW23+AX23</f>
        <v>0</v>
      </c>
      <c r="BD23" s="88" t="n">
        <f aca="false">H23/(100-BE23)*100</f>
        <v>0</v>
      </c>
      <c r="BE23" s="88" t="n">
        <v>0</v>
      </c>
      <c r="BF23" s="88" t="n">
        <f aca="false">M23</f>
        <v>1.362</v>
      </c>
      <c r="BH23" s="88" t="n">
        <f aca="false">G23*AO23</f>
        <v>0</v>
      </c>
      <c r="BI23" s="88" t="n">
        <f aca="false">G23*AP23</f>
        <v>0</v>
      </c>
      <c r="BJ23" s="88" t="n">
        <f aca="false">G23*H23</f>
        <v>0</v>
      </c>
      <c r="BK23" s="87" t="s">
        <v>159</v>
      </c>
      <c r="BL23" s="88" t="n">
        <v>96</v>
      </c>
      <c r="BW23" s="88" t="n">
        <v>21</v>
      </c>
      <c r="BX23" s="9" t="s">
        <v>188</v>
      </c>
    </row>
    <row r="24" customFormat="false" ht="23.85" hidden="false" customHeight="true" outlineLevel="0" collapsed="false">
      <c r="A24" s="134" t="s">
        <v>192</v>
      </c>
      <c r="B24" s="134" t="s">
        <v>104</v>
      </c>
      <c r="C24" s="134" t="s">
        <v>193</v>
      </c>
      <c r="D24" s="135" t="s">
        <v>194</v>
      </c>
      <c r="E24" s="135"/>
      <c r="F24" s="134" t="s">
        <v>189</v>
      </c>
      <c r="G24" s="136" t="n">
        <v>1.024</v>
      </c>
      <c r="H24" s="137"/>
      <c r="I24" s="137" t="n">
        <f aca="false">ROUND(G24*AO24,2)</f>
        <v>0</v>
      </c>
      <c r="J24" s="137" t="n">
        <f aca="false">ROUND(G24*AP24,2)</f>
        <v>0</v>
      </c>
      <c r="K24" s="137" t="n">
        <f aca="false">ROUND(G24*H24,2)</f>
        <v>0</v>
      </c>
      <c r="L24" s="137" t="n">
        <v>2</v>
      </c>
      <c r="M24" s="137" t="n">
        <f aca="false">G24*L24</f>
        <v>2.048</v>
      </c>
      <c r="N24" s="138" t="s">
        <v>155</v>
      </c>
      <c r="Z24" s="88" t="n">
        <f aca="false">ROUND(IF(AQ24="5",BJ24,0),2)</f>
        <v>0</v>
      </c>
      <c r="AB24" s="88" t="n">
        <f aca="false">ROUND(IF(AQ24="1",BH24,0),2)</f>
        <v>0</v>
      </c>
      <c r="AC24" s="88" t="n">
        <f aca="false">ROUND(IF(AQ24="1",BI24,0),2)</f>
        <v>0</v>
      </c>
      <c r="AD24" s="88" t="n">
        <f aca="false">ROUND(IF(AQ24="7",BH24,0),2)</f>
        <v>0</v>
      </c>
      <c r="AE24" s="88" t="n">
        <f aca="false">ROUND(IF(AQ24="7",BI24,0),2)</f>
        <v>0</v>
      </c>
      <c r="AF24" s="88" t="n">
        <f aca="false">ROUND(IF(AQ24="2",BH24,0),2)</f>
        <v>0</v>
      </c>
      <c r="AG24" s="88" t="n">
        <f aca="false">ROUND(IF(AQ24="2",BI24,0),2)</f>
        <v>0</v>
      </c>
      <c r="AH24" s="88" t="n">
        <f aca="false">ROUND(IF(AQ24="0",BJ24,0),2)</f>
        <v>0</v>
      </c>
      <c r="AI24" s="116" t="s">
        <v>104</v>
      </c>
      <c r="AJ24" s="88" t="n">
        <f aca="false">IF(AN24=0,K24,0)</f>
        <v>0</v>
      </c>
      <c r="AK24" s="88" t="n">
        <f aca="false">IF(AN24=12,K24,0)</f>
        <v>0</v>
      </c>
      <c r="AL24" s="88" t="n">
        <f aca="false">IF(AN24=21,K24,0)</f>
        <v>0</v>
      </c>
      <c r="AN24" s="88" t="n">
        <v>21</v>
      </c>
      <c r="AO24" s="88" t="n">
        <f aca="false">H24*0</f>
        <v>0</v>
      </c>
      <c r="AP24" s="88" t="n">
        <f aca="false">H24*(1-0)</f>
        <v>0</v>
      </c>
      <c r="AQ24" s="87" t="s">
        <v>151</v>
      </c>
      <c r="AV24" s="88" t="n">
        <f aca="false">ROUND(AW24+AX24,2)</f>
        <v>0</v>
      </c>
      <c r="AW24" s="88" t="n">
        <f aca="false">ROUND(G24*AO24,2)</f>
        <v>0</v>
      </c>
      <c r="AX24" s="88" t="n">
        <f aca="false">ROUND(G24*AP24,2)</f>
        <v>0</v>
      </c>
      <c r="AY24" s="87" t="s">
        <v>190</v>
      </c>
      <c r="AZ24" s="87" t="s">
        <v>191</v>
      </c>
      <c r="BA24" s="116" t="s">
        <v>158</v>
      </c>
      <c r="BC24" s="88" t="n">
        <f aca="false">AW24+AX24</f>
        <v>0</v>
      </c>
      <c r="BD24" s="88" t="n">
        <f aca="false">H24/(100-BE24)*100</f>
        <v>0</v>
      </c>
      <c r="BE24" s="88" t="n">
        <v>0</v>
      </c>
      <c r="BF24" s="88" t="n">
        <f aca="false">M24</f>
        <v>2.048</v>
      </c>
      <c r="BH24" s="88" t="n">
        <f aca="false">G24*AO24</f>
        <v>0</v>
      </c>
      <c r="BI24" s="88" t="n">
        <f aca="false">G24*AP24</f>
        <v>0</v>
      </c>
      <c r="BJ24" s="88" t="n">
        <f aca="false">G24*H24</f>
        <v>0</v>
      </c>
      <c r="BK24" s="87" t="s">
        <v>159</v>
      </c>
      <c r="BL24" s="88" t="n">
        <v>96</v>
      </c>
      <c r="BW24" s="88" t="n">
        <v>21</v>
      </c>
      <c r="BX24" s="9" t="s">
        <v>194</v>
      </c>
    </row>
    <row r="25" customFormat="false" ht="23.85" hidden="false" customHeight="true" outlineLevel="0" collapsed="false">
      <c r="A25" s="134" t="s">
        <v>149</v>
      </c>
      <c r="B25" s="134" t="s">
        <v>104</v>
      </c>
      <c r="C25" s="134" t="s">
        <v>195</v>
      </c>
      <c r="D25" s="135" t="s">
        <v>196</v>
      </c>
      <c r="E25" s="135"/>
      <c r="F25" s="134" t="s">
        <v>189</v>
      </c>
      <c r="G25" s="136" t="n">
        <v>0.51</v>
      </c>
      <c r="H25" s="137"/>
      <c r="I25" s="137" t="n">
        <f aca="false">ROUND(G25*AO25,2)</f>
        <v>0</v>
      </c>
      <c r="J25" s="137" t="n">
        <f aca="false">ROUND(G25*AP25,2)</f>
        <v>0</v>
      </c>
      <c r="K25" s="137" t="n">
        <f aca="false">ROUND(G25*H25,2)</f>
        <v>0</v>
      </c>
      <c r="L25" s="137" t="n">
        <v>2.00128</v>
      </c>
      <c r="M25" s="137" t="n">
        <f aca="false">G25*L25</f>
        <v>1.0206528</v>
      </c>
      <c r="N25" s="138" t="s">
        <v>155</v>
      </c>
      <c r="Z25" s="88" t="n">
        <f aca="false">ROUND(IF(AQ25="5",BJ25,0),2)</f>
        <v>0</v>
      </c>
      <c r="AB25" s="88" t="n">
        <f aca="false">ROUND(IF(AQ25="1",BH25,0),2)</f>
        <v>0</v>
      </c>
      <c r="AC25" s="88" t="n">
        <f aca="false">ROUND(IF(AQ25="1",BI25,0),2)</f>
        <v>0</v>
      </c>
      <c r="AD25" s="88" t="n">
        <f aca="false">ROUND(IF(AQ25="7",BH25,0),2)</f>
        <v>0</v>
      </c>
      <c r="AE25" s="88" t="n">
        <f aca="false">ROUND(IF(AQ25="7",BI25,0),2)</f>
        <v>0</v>
      </c>
      <c r="AF25" s="88" t="n">
        <f aca="false">ROUND(IF(AQ25="2",BH25,0),2)</f>
        <v>0</v>
      </c>
      <c r="AG25" s="88" t="n">
        <f aca="false">ROUND(IF(AQ25="2",BI25,0),2)</f>
        <v>0</v>
      </c>
      <c r="AH25" s="88" t="n">
        <f aca="false">ROUND(IF(AQ25="0",BJ25,0),2)</f>
        <v>0</v>
      </c>
      <c r="AI25" s="116" t="s">
        <v>104</v>
      </c>
      <c r="AJ25" s="88" t="n">
        <f aca="false">IF(AN25=0,K25,0)</f>
        <v>0</v>
      </c>
      <c r="AK25" s="88" t="n">
        <f aca="false">IF(AN25=12,K25,0)</f>
        <v>0</v>
      </c>
      <c r="AL25" s="88" t="n">
        <f aca="false">IF(AN25=21,K25,0)</f>
        <v>0</v>
      </c>
      <c r="AN25" s="88" t="n">
        <v>21</v>
      </c>
      <c r="AO25" s="88" t="n">
        <f aca="false">H25*0.027162504</f>
        <v>0</v>
      </c>
      <c r="AP25" s="88" t="n">
        <f aca="false">H25*(1-0.027162504)</f>
        <v>0</v>
      </c>
      <c r="AQ25" s="87" t="s">
        <v>151</v>
      </c>
      <c r="AV25" s="88" t="n">
        <f aca="false">ROUND(AW25+AX25,2)</f>
        <v>0</v>
      </c>
      <c r="AW25" s="88" t="n">
        <f aca="false">ROUND(G25*AO25,2)</f>
        <v>0</v>
      </c>
      <c r="AX25" s="88" t="n">
        <f aca="false">ROUND(G25*AP25,2)</f>
        <v>0</v>
      </c>
      <c r="AY25" s="87" t="s">
        <v>190</v>
      </c>
      <c r="AZ25" s="87" t="s">
        <v>191</v>
      </c>
      <c r="BA25" s="116" t="s">
        <v>158</v>
      </c>
      <c r="BC25" s="88" t="n">
        <f aca="false">AW25+AX25</f>
        <v>0</v>
      </c>
      <c r="BD25" s="88" t="n">
        <f aca="false">H25/(100-BE25)*100</f>
        <v>0</v>
      </c>
      <c r="BE25" s="88" t="n">
        <v>0</v>
      </c>
      <c r="BF25" s="88" t="n">
        <f aca="false">M25</f>
        <v>1.0206528</v>
      </c>
      <c r="BH25" s="88" t="n">
        <f aca="false">G25*AO25</f>
        <v>0</v>
      </c>
      <c r="BI25" s="88" t="n">
        <f aca="false">G25*AP25</f>
        <v>0</v>
      </c>
      <c r="BJ25" s="88" t="n">
        <f aca="false">G25*H25</f>
        <v>0</v>
      </c>
      <c r="BK25" s="87" t="s">
        <v>159</v>
      </c>
      <c r="BL25" s="88" t="n">
        <v>96</v>
      </c>
      <c r="BW25" s="88" t="n">
        <v>21</v>
      </c>
      <c r="BX25" s="9" t="s">
        <v>196</v>
      </c>
    </row>
    <row r="26" customFormat="false" ht="15" hidden="false" customHeight="true" outlineLevel="0" collapsed="false">
      <c r="A26" s="128"/>
      <c r="B26" s="129" t="s">
        <v>104</v>
      </c>
      <c r="C26" s="129" t="s">
        <v>197</v>
      </c>
      <c r="D26" s="130" t="s">
        <v>198</v>
      </c>
      <c r="E26" s="130"/>
      <c r="F26" s="128" t="s">
        <v>97</v>
      </c>
      <c r="G26" s="131" t="s">
        <v>97</v>
      </c>
      <c r="H26" s="128"/>
      <c r="I26" s="132" t="n">
        <f aca="false">ROUND(SUM(I27),2)</f>
        <v>0</v>
      </c>
      <c r="J26" s="132" t="n">
        <f aca="false">ROUND(SUM(J27),2)</f>
        <v>0</v>
      </c>
      <c r="K26" s="132" t="n">
        <f aca="false">ROUND(SUM(K27),2)</f>
        <v>0</v>
      </c>
      <c r="L26" s="133"/>
      <c r="M26" s="132" t="n">
        <f aca="false">SUM(M27)</f>
        <v>0.2103</v>
      </c>
      <c r="N26" s="133"/>
      <c r="AI26" s="116" t="s">
        <v>104</v>
      </c>
      <c r="AS26" s="107" t="n">
        <f aca="false">SUM(AJ27)</f>
        <v>0</v>
      </c>
      <c r="AT26" s="107" t="n">
        <f aca="false">SUM(AK27)</f>
        <v>0</v>
      </c>
      <c r="AU26" s="107" t="n">
        <f aca="false">SUM(AL27)</f>
        <v>0</v>
      </c>
    </row>
    <row r="27" customFormat="false" ht="23.85" hidden="false" customHeight="true" outlineLevel="0" collapsed="false">
      <c r="A27" s="134" t="s">
        <v>199</v>
      </c>
      <c r="B27" s="134" t="s">
        <v>104</v>
      </c>
      <c r="C27" s="134" t="s">
        <v>200</v>
      </c>
      <c r="D27" s="135" t="s">
        <v>201</v>
      </c>
      <c r="E27" s="135"/>
      <c r="F27" s="134" t="s">
        <v>202</v>
      </c>
      <c r="G27" s="136" t="n">
        <v>210.3</v>
      </c>
      <c r="H27" s="137"/>
      <c r="I27" s="137" t="n">
        <f aca="false">ROUND(G27*AO27,2)</f>
        <v>0</v>
      </c>
      <c r="J27" s="137" t="n">
        <f aca="false">ROUND(G27*AP27,2)</f>
        <v>0</v>
      </c>
      <c r="K27" s="137" t="n">
        <f aca="false">ROUND(G27*H27,2)</f>
        <v>0</v>
      </c>
      <c r="L27" s="137" t="n">
        <v>0.001</v>
      </c>
      <c r="M27" s="137" t="n">
        <f aca="false">G27*L27</f>
        <v>0.2103</v>
      </c>
      <c r="N27" s="138" t="s">
        <v>155</v>
      </c>
      <c r="Z27" s="88" t="n">
        <f aca="false">ROUND(IF(AQ27="5",BJ27,0),2)</f>
        <v>0</v>
      </c>
      <c r="AB27" s="88" t="n">
        <f aca="false">ROUND(IF(AQ27="1",BH27,0),2)</f>
        <v>0</v>
      </c>
      <c r="AC27" s="88" t="n">
        <f aca="false">ROUND(IF(AQ27="1",BI27,0),2)</f>
        <v>0</v>
      </c>
      <c r="AD27" s="88" t="n">
        <f aca="false">ROUND(IF(AQ27="7",BH27,0),2)</f>
        <v>0</v>
      </c>
      <c r="AE27" s="88" t="n">
        <f aca="false">ROUND(IF(AQ27="7",BI27,0),2)</f>
        <v>0</v>
      </c>
      <c r="AF27" s="88" t="n">
        <f aca="false">ROUND(IF(AQ27="2",BH27,0),2)</f>
        <v>0</v>
      </c>
      <c r="AG27" s="88" t="n">
        <f aca="false">ROUND(IF(AQ27="2",BI27,0),2)</f>
        <v>0</v>
      </c>
      <c r="AH27" s="88" t="n">
        <f aca="false">ROUND(IF(AQ27="0",BJ27,0),2)</f>
        <v>0</v>
      </c>
      <c r="AI27" s="116" t="s">
        <v>104</v>
      </c>
      <c r="AJ27" s="88" t="n">
        <f aca="false">IF(AN27=0,K27,0)</f>
        <v>0</v>
      </c>
      <c r="AK27" s="88" t="n">
        <f aca="false">IF(AN27=12,K27,0)</f>
        <v>0</v>
      </c>
      <c r="AL27" s="88" t="n">
        <f aca="false">IF(AN27=21,K27,0)</f>
        <v>0</v>
      </c>
      <c r="AN27" s="88" t="n">
        <v>21</v>
      </c>
      <c r="AO27" s="88" t="n">
        <f aca="false">H27*0</f>
        <v>0</v>
      </c>
      <c r="AP27" s="88" t="n">
        <f aca="false">H27*(1-0)</f>
        <v>0</v>
      </c>
      <c r="AQ27" s="87" t="s">
        <v>151</v>
      </c>
      <c r="AV27" s="88" t="n">
        <f aca="false">ROUND(AW27+AX27,2)</f>
        <v>0</v>
      </c>
      <c r="AW27" s="88" t="n">
        <f aca="false">ROUND(G27*AO27,2)</f>
        <v>0</v>
      </c>
      <c r="AX27" s="88" t="n">
        <f aca="false">ROUND(G27*AP27,2)</f>
        <v>0</v>
      </c>
      <c r="AY27" s="87" t="s">
        <v>203</v>
      </c>
      <c r="AZ27" s="87" t="s">
        <v>191</v>
      </c>
      <c r="BA27" s="116" t="s">
        <v>158</v>
      </c>
      <c r="BC27" s="88" t="n">
        <f aca="false">AW27+AX27</f>
        <v>0</v>
      </c>
      <c r="BD27" s="88" t="n">
        <f aca="false">H27/(100-BE27)*100</f>
        <v>0</v>
      </c>
      <c r="BE27" s="88" t="n">
        <v>0</v>
      </c>
      <c r="BF27" s="88" t="n">
        <f aca="false">M27</f>
        <v>0.2103</v>
      </c>
      <c r="BH27" s="88" t="n">
        <f aca="false">G27*AO27</f>
        <v>0</v>
      </c>
      <c r="BI27" s="88" t="n">
        <f aca="false">G27*AP27</f>
        <v>0</v>
      </c>
      <c r="BJ27" s="88" t="n">
        <f aca="false">G27*H27</f>
        <v>0</v>
      </c>
      <c r="BK27" s="87" t="s">
        <v>159</v>
      </c>
      <c r="BL27" s="88" t="n">
        <v>97</v>
      </c>
      <c r="BW27" s="88" t="n">
        <v>21</v>
      </c>
      <c r="BX27" s="9" t="s">
        <v>201</v>
      </c>
    </row>
    <row r="28" customFormat="false" ht="15" hidden="false" customHeight="true" outlineLevel="0" collapsed="false">
      <c r="A28" s="128"/>
      <c r="B28" s="129" t="s">
        <v>104</v>
      </c>
      <c r="C28" s="129" t="s">
        <v>204</v>
      </c>
      <c r="D28" s="130" t="s">
        <v>205</v>
      </c>
      <c r="E28" s="130"/>
      <c r="F28" s="128" t="s">
        <v>97</v>
      </c>
      <c r="G28" s="131" t="s">
        <v>97</v>
      </c>
      <c r="H28" s="128"/>
      <c r="I28" s="132" t="n">
        <f aca="false">ROUND(SUM(I29:I37),2)</f>
        <v>0</v>
      </c>
      <c r="J28" s="132" t="n">
        <f aca="false">ROUND(SUM(J29:J37),2)</f>
        <v>0</v>
      </c>
      <c r="K28" s="132" t="n">
        <f aca="false">ROUND(SUM(K29:K37),2)</f>
        <v>0</v>
      </c>
      <c r="L28" s="133"/>
      <c r="M28" s="132" t="n">
        <f aca="false">SUM(M29:M37)</f>
        <v>0</v>
      </c>
      <c r="N28" s="133"/>
      <c r="AI28" s="116" t="s">
        <v>104</v>
      </c>
      <c r="AS28" s="107" t="n">
        <f aca="false">SUM(AJ29:AJ37)</f>
        <v>0</v>
      </c>
      <c r="AT28" s="107" t="n">
        <f aca="false">SUM(AK29:AK37)</f>
        <v>0</v>
      </c>
      <c r="AU28" s="107" t="n">
        <f aca="false">SUM(AL29:AL37)</f>
        <v>0</v>
      </c>
    </row>
    <row r="29" customFormat="false" ht="15" hidden="false" customHeight="true" outlineLevel="0" collapsed="false">
      <c r="A29" s="134" t="s">
        <v>206</v>
      </c>
      <c r="B29" s="134" t="s">
        <v>104</v>
      </c>
      <c r="C29" s="134" t="s">
        <v>207</v>
      </c>
      <c r="D29" s="135" t="s">
        <v>208</v>
      </c>
      <c r="E29" s="135"/>
      <c r="F29" s="134" t="s">
        <v>179</v>
      </c>
      <c r="G29" s="136" t="n">
        <v>8.89</v>
      </c>
      <c r="H29" s="137"/>
      <c r="I29" s="137" t="n">
        <f aca="false">ROUND(G29*AO29,2)</f>
        <v>0</v>
      </c>
      <c r="J29" s="137" t="n">
        <f aca="false">ROUND(G29*AP29,2)</f>
        <v>0</v>
      </c>
      <c r="K29" s="137" t="n">
        <f aca="false">ROUND(G29*H29,2)</f>
        <v>0</v>
      </c>
      <c r="L29" s="137" t="n">
        <v>0</v>
      </c>
      <c r="M29" s="137" t="n">
        <f aca="false">G29*L29</f>
        <v>0</v>
      </c>
      <c r="N29" s="138" t="s">
        <v>155</v>
      </c>
      <c r="Z29" s="88" t="n">
        <f aca="false">ROUND(IF(AQ29="5",BJ29,0),2)</f>
        <v>0</v>
      </c>
      <c r="AB29" s="88" t="n">
        <f aca="false">ROUND(IF(AQ29="1",BH29,0),2)</f>
        <v>0</v>
      </c>
      <c r="AC29" s="88" t="n">
        <f aca="false">ROUND(IF(AQ29="1",BI29,0),2)</f>
        <v>0</v>
      </c>
      <c r="AD29" s="88" t="n">
        <f aca="false">ROUND(IF(AQ29="7",BH29,0),2)</f>
        <v>0</v>
      </c>
      <c r="AE29" s="88" t="n">
        <f aca="false">ROUND(IF(AQ29="7",BI29,0),2)</f>
        <v>0</v>
      </c>
      <c r="AF29" s="88" t="n">
        <f aca="false">ROUND(IF(AQ29="2",BH29,0),2)</f>
        <v>0</v>
      </c>
      <c r="AG29" s="88" t="n">
        <f aca="false">ROUND(IF(AQ29="2",BI29,0),2)</f>
        <v>0</v>
      </c>
      <c r="AH29" s="88" t="n">
        <f aca="false">ROUND(IF(AQ29="0",BJ29,0),2)</f>
        <v>0</v>
      </c>
      <c r="AI29" s="116" t="s">
        <v>104</v>
      </c>
      <c r="AJ29" s="88" t="n">
        <f aca="false">IF(AN29=0,K29,0)</f>
        <v>0</v>
      </c>
      <c r="AK29" s="88" t="n">
        <f aca="false">IF(AN29=12,K29,0)</f>
        <v>0</v>
      </c>
      <c r="AL29" s="88" t="n">
        <f aca="false">IF(AN29=21,K29,0)</f>
        <v>0</v>
      </c>
      <c r="AN29" s="88" t="n">
        <v>21</v>
      </c>
      <c r="AO29" s="88" t="n">
        <f aca="false">H29*0</f>
        <v>0</v>
      </c>
      <c r="AP29" s="88" t="n">
        <f aca="false">H29*(1-0)</f>
        <v>0</v>
      </c>
      <c r="AQ29" s="87" t="s">
        <v>170</v>
      </c>
      <c r="AV29" s="88" t="n">
        <f aca="false">ROUND(AW29+AX29,2)</f>
        <v>0</v>
      </c>
      <c r="AW29" s="88" t="n">
        <f aca="false">ROUND(G29*AO29,2)</f>
        <v>0</v>
      </c>
      <c r="AX29" s="88" t="n">
        <f aca="false">ROUND(G29*AP29,2)</f>
        <v>0</v>
      </c>
      <c r="AY29" s="87" t="s">
        <v>209</v>
      </c>
      <c r="AZ29" s="87" t="s">
        <v>191</v>
      </c>
      <c r="BA29" s="116" t="s">
        <v>158</v>
      </c>
      <c r="BC29" s="88" t="n">
        <f aca="false">AW29+AX29</f>
        <v>0</v>
      </c>
      <c r="BD29" s="88" t="n">
        <f aca="false">H29/(100-BE29)*100</f>
        <v>0</v>
      </c>
      <c r="BE29" s="88" t="n">
        <v>0</v>
      </c>
      <c r="BF29" s="88" t="n">
        <f aca="false">M29</f>
        <v>0</v>
      </c>
      <c r="BH29" s="88" t="n">
        <f aca="false">G29*AO29</f>
        <v>0</v>
      </c>
      <c r="BI29" s="88" t="n">
        <f aca="false">G29*AP29</f>
        <v>0</v>
      </c>
      <c r="BJ29" s="88" t="n">
        <f aca="false">G29*H29</f>
        <v>0</v>
      </c>
      <c r="BK29" s="87" t="s">
        <v>159</v>
      </c>
      <c r="BL29" s="88"/>
      <c r="BW29" s="88" t="n">
        <v>21</v>
      </c>
      <c r="BX29" s="9" t="s">
        <v>208</v>
      </c>
    </row>
    <row r="30" customFormat="false" ht="15" hidden="false" customHeight="true" outlineLevel="0" collapsed="false">
      <c r="A30" s="134" t="s">
        <v>210</v>
      </c>
      <c r="B30" s="134" t="s">
        <v>104</v>
      </c>
      <c r="C30" s="134" t="s">
        <v>211</v>
      </c>
      <c r="D30" s="135" t="s">
        <v>212</v>
      </c>
      <c r="E30" s="135"/>
      <c r="F30" s="134" t="s">
        <v>179</v>
      </c>
      <c r="G30" s="136" t="n">
        <v>17.78</v>
      </c>
      <c r="H30" s="137"/>
      <c r="I30" s="137" t="n">
        <f aca="false">ROUND(G30*AO30,2)</f>
        <v>0</v>
      </c>
      <c r="J30" s="137" t="n">
        <f aca="false">ROUND(G30*AP30,2)</f>
        <v>0</v>
      </c>
      <c r="K30" s="137" t="n">
        <f aca="false">ROUND(G30*H30,2)</f>
        <v>0</v>
      </c>
      <c r="L30" s="137" t="n">
        <v>0</v>
      </c>
      <c r="M30" s="137" t="n">
        <f aca="false">G30*L30</f>
        <v>0</v>
      </c>
      <c r="N30" s="138" t="s">
        <v>155</v>
      </c>
      <c r="Z30" s="88" t="n">
        <f aca="false">ROUND(IF(AQ30="5",BJ30,0),2)</f>
        <v>0</v>
      </c>
      <c r="AB30" s="88" t="n">
        <f aca="false">ROUND(IF(AQ30="1",BH30,0),2)</f>
        <v>0</v>
      </c>
      <c r="AC30" s="88" t="n">
        <f aca="false">ROUND(IF(AQ30="1",BI30,0),2)</f>
        <v>0</v>
      </c>
      <c r="AD30" s="88" t="n">
        <f aca="false">ROUND(IF(AQ30="7",BH30,0),2)</f>
        <v>0</v>
      </c>
      <c r="AE30" s="88" t="n">
        <f aca="false">ROUND(IF(AQ30="7",BI30,0),2)</f>
        <v>0</v>
      </c>
      <c r="AF30" s="88" t="n">
        <f aca="false">ROUND(IF(AQ30="2",BH30,0),2)</f>
        <v>0</v>
      </c>
      <c r="AG30" s="88" t="n">
        <f aca="false">ROUND(IF(AQ30="2",BI30,0),2)</f>
        <v>0</v>
      </c>
      <c r="AH30" s="88" t="n">
        <f aca="false">ROUND(IF(AQ30="0",BJ30,0),2)</f>
        <v>0</v>
      </c>
      <c r="AI30" s="116" t="s">
        <v>104</v>
      </c>
      <c r="AJ30" s="88" t="n">
        <f aca="false">IF(AN30=0,K30,0)</f>
        <v>0</v>
      </c>
      <c r="AK30" s="88" t="n">
        <f aca="false">IF(AN30=12,K30,0)</f>
        <v>0</v>
      </c>
      <c r="AL30" s="88" t="n">
        <f aca="false">IF(AN30=21,K30,0)</f>
        <v>0</v>
      </c>
      <c r="AN30" s="88" t="n">
        <v>21</v>
      </c>
      <c r="AO30" s="88" t="n">
        <f aca="false">H30*0</f>
        <v>0</v>
      </c>
      <c r="AP30" s="88" t="n">
        <f aca="false">H30*(1-0)</f>
        <v>0</v>
      </c>
      <c r="AQ30" s="87" t="s">
        <v>170</v>
      </c>
      <c r="AV30" s="88" t="n">
        <f aca="false">ROUND(AW30+AX30,2)</f>
        <v>0</v>
      </c>
      <c r="AW30" s="88" t="n">
        <f aca="false">ROUND(G30*AO30,2)</f>
        <v>0</v>
      </c>
      <c r="AX30" s="88" t="n">
        <f aca="false">ROUND(G30*AP30,2)</f>
        <v>0</v>
      </c>
      <c r="AY30" s="87" t="s">
        <v>209</v>
      </c>
      <c r="AZ30" s="87" t="s">
        <v>191</v>
      </c>
      <c r="BA30" s="116" t="s">
        <v>158</v>
      </c>
      <c r="BC30" s="88" t="n">
        <f aca="false">AW30+AX30</f>
        <v>0</v>
      </c>
      <c r="BD30" s="88" t="n">
        <f aca="false">H30/(100-BE30)*100</f>
        <v>0</v>
      </c>
      <c r="BE30" s="88" t="n">
        <v>0</v>
      </c>
      <c r="BF30" s="88" t="n">
        <f aca="false">M30</f>
        <v>0</v>
      </c>
      <c r="BH30" s="88" t="n">
        <f aca="false">G30*AO30</f>
        <v>0</v>
      </c>
      <c r="BI30" s="88" t="n">
        <f aca="false">G30*AP30</f>
        <v>0</v>
      </c>
      <c r="BJ30" s="88" t="n">
        <f aca="false">G30*H30</f>
        <v>0</v>
      </c>
      <c r="BK30" s="87" t="s">
        <v>159</v>
      </c>
      <c r="BL30" s="88"/>
      <c r="BW30" s="88" t="n">
        <v>21</v>
      </c>
      <c r="BX30" s="9" t="s">
        <v>212</v>
      </c>
    </row>
    <row r="31" customFormat="false" ht="15" hidden="false" customHeight="true" outlineLevel="0" collapsed="false">
      <c r="A31" s="134" t="s">
        <v>213</v>
      </c>
      <c r="B31" s="134" t="s">
        <v>104</v>
      </c>
      <c r="C31" s="134" t="s">
        <v>214</v>
      </c>
      <c r="D31" s="135" t="s">
        <v>215</v>
      </c>
      <c r="E31" s="135"/>
      <c r="F31" s="134" t="s">
        <v>179</v>
      </c>
      <c r="G31" s="136" t="n">
        <v>10.331</v>
      </c>
      <c r="H31" s="137"/>
      <c r="I31" s="137" t="n">
        <f aca="false">ROUND(G31*AO31,2)</f>
        <v>0</v>
      </c>
      <c r="J31" s="137" t="n">
        <f aca="false">ROUND(G31*AP31,2)</f>
        <v>0</v>
      </c>
      <c r="K31" s="137" t="n">
        <f aca="false">ROUND(G31*H31,2)</f>
        <v>0</v>
      </c>
      <c r="L31" s="137" t="n">
        <v>0</v>
      </c>
      <c r="M31" s="137" t="n">
        <f aca="false">G31*L31</f>
        <v>0</v>
      </c>
      <c r="N31" s="138" t="s">
        <v>155</v>
      </c>
      <c r="Z31" s="88" t="n">
        <f aca="false">ROUND(IF(AQ31="5",BJ31,0),2)</f>
        <v>0</v>
      </c>
      <c r="AB31" s="88" t="n">
        <f aca="false">ROUND(IF(AQ31="1",BH31,0),2)</f>
        <v>0</v>
      </c>
      <c r="AC31" s="88" t="n">
        <f aca="false">ROUND(IF(AQ31="1",BI31,0),2)</f>
        <v>0</v>
      </c>
      <c r="AD31" s="88" t="n">
        <f aca="false">ROUND(IF(AQ31="7",BH31,0),2)</f>
        <v>0</v>
      </c>
      <c r="AE31" s="88" t="n">
        <f aca="false">ROUND(IF(AQ31="7",BI31,0),2)</f>
        <v>0</v>
      </c>
      <c r="AF31" s="88" t="n">
        <f aca="false">ROUND(IF(AQ31="2",BH31,0),2)</f>
        <v>0</v>
      </c>
      <c r="AG31" s="88" t="n">
        <f aca="false">ROUND(IF(AQ31="2",BI31,0),2)</f>
        <v>0</v>
      </c>
      <c r="AH31" s="88" t="n">
        <f aca="false">ROUND(IF(AQ31="0",BJ31,0),2)</f>
        <v>0</v>
      </c>
      <c r="AI31" s="116" t="s">
        <v>104</v>
      </c>
      <c r="AJ31" s="88" t="n">
        <f aca="false">IF(AN31=0,K31,0)</f>
        <v>0</v>
      </c>
      <c r="AK31" s="88" t="n">
        <f aca="false">IF(AN31=12,K31,0)</f>
        <v>0</v>
      </c>
      <c r="AL31" s="88" t="n">
        <f aca="false">IF(AN31=21,K31,0)</f>
        <v>0</v>
      </c>
      <c r="AN31" s="88" t="n">
        <v>21</v>
      </c>
      <c r="AO31" s="88" t="n">
        <f aca="false">H31*0</f>
        <v>0</v>
      </c>
      <c r="AP31" s="88" t="n">
        <f aca="false">H31*(1-0)</f>
        <v>0</v>
      </c>
      <c r="AQ31" s="87" t="s">
        <v>170</v>
      </c>
      <c r="AV31" s="88" t="n">
        <f aca="false">ROUND(AW31+AX31,2)</f>
        <v>0</v>
      </c>
      <c r="AW31" s="88" t="n">
        <f aca="false">ROUND(G31*AO31,2)</f>
        <v>0</v>
      </c>
      <c r="AX31" s="88" t="n">
        <f aca="false">ROUND(G31*AP31,2)</f>
        <v>0</v>
      </c>
      <c r="AY31" s="87" t="s">
        <v>209</v>
      </c>
      <c r="AZ31" s="87" t="s">
        <v>191</v>
      </c>
      <c r="BA31" s="116" t="s">
        <v>158</v>
      </c>
      <c r="BC31" s="88" t="n">
        <f aca="false">AW31+AX31</f>
        <v>0</v>
      </c>
      <c r="BD31" s="88" t="n">
        <f aca="false">H31/(100-BE31)*100</f>
        <v>0</v>
      </c>
      <c r="BE31" s="88" t="n">
        <v>0</v>
      </c>
      <c r="BF31" s="88" t="n">
        <f aca="false">M31</f>
        <v>0</v>
      </c>
      <c r="BH31" s="88" t="n">
        <f aca="false">G31*AO31</f>
        <v>0</v>
      </c>
      <c r="BI31" s="88" t="n">
        <f aca="false">G31*AP31</f>
        <v>0</v>
      </c>
      <c r="BJ31" s="88" t="n">
        <f aca="false">G31*H31</f>
        <v>0</v>
      </c>
      <c r="BK31" s="87" t="s">
        <v>159</v>
      </c>
      <c r="BL31" s="88"/>
      <c r="BW31" s="88" t="n">
        <v>21</v>
      </c>
      <c r="BX31" s="9" t="s">
        <v>215</v>
      </c>
    </row>
    <row r="32" customFormat="false" ht="15" hidden="false" customHeight="true" outlineLevel="0" collapsed="false">
      <c r="A32" s="134" t="s">
        <v>216</v>
      </c>
      <c r="B32" s="134" t="s">
        <v>104</v>
      </c>
      <c r="C32" s="134" t="s">
        <v>217</v>
      </c>
      <c r="D32" s="135" t="s">
        <v>218</v>
      </c>
      <c r="E32" s="135"/>
      <c r="F32" s="134" t="s">
        <v>179</v>
      </c>
      <c r="G32" s="136" t="n">
        <v>10.331</v>
      </c>
      <c r="H32" s="137"/>
      <c r="I32" s="137" t="n">
        <f aca="false">ROUND(G32*AO32,2)</f>
        <v>0</v>
      </c>
      <c r="J32" s="137" t="n">
        <f aca="false">ROUND(G32*AP32,2)</f>
        <v>0</v>
      </c>
      <c r="K32" s="137" t="n">
        <f aca="false">ROUND(G32*H32,2)</f>
        <v>0</v>
      </c>
      <c r="L32" s="137" t="n">
        <v>0</v>
      </c>
      <c r="M32" s="137" t="n">
        <f aca="false">G32*L32</f>
        <v>0</v>
      </c>
      <c r="N32" s="138" t="s">
        <v>155</v>
      </c>
      <c r="Z32" s="88" t="n">
        <f aca="false">ROUND(IF(AQ32="5",BJ32,0),2)</f>
        <v>0</v>
      </c>
      <c r="AB32" s="88" t="n">
        <f aca="false">ROUND(IF(AQ32="1",BH32,0),2)</f>
        <v>0</v>
      </c>
      <c r="AC32" s="88" t="n">
        <f aca="false">ROUND(IF(AQ32="1",BI32,0),2)</f>
        <v>0</v>
      </c>
      <c r="AD32" s="88" t="n">
        <f aca="false">ROUND(IF(AQ32="7",BH32,0),2)</f>
        <v>0</v>
      </c>
      <c r="AE32" s="88" t="n">
        <f aca="false">ROUND(IF(AQ32="7",BI32,0),2)</f>
        <v>0</v>
      </c>
      <c r="AF32" s="88" t="n">
        <f aca="false">ROUND(IF(AQ32="2",BH32,0),2)</f>
        <v>0</v>
      </c>
      <c r="AG32" s="88" t="n">
        <f aca="false">ROUND(IF(AQ32="2",BI32,0),2)</f>
        <v>0</v>
      </c>
      <c r="AH32" s="88" t="n">
        <f aca="false">ROUND(IF(AQ32="0",BJ32,0),2)</f>
        <v>0</v>
      </c>
      <c r="AI32" s="116" t="s">
        <v>104</v>
      </c>
      <c r="AJ32" s="88" t="n">
        <f aca="false">IF(AN32=0,K32,0)</f>
        <v>0</v>
      </c>
      <c r="AK32" s="88" t="n">
        <f aca="false">IF(AN32=12,K32,0)</f>
        <v>0</v>
      </c>
      <c r="AL32" s="88" t="n">
        <f aca="false">IF(AN32=21,K32,0)</f>
        <v>0</v>
      </c>
      <c r="AN32" s="88" t="n">
        <v>21</v>
      </c>
      <c r="AO32" s="88" t="n">
        <f aca="false">H32*0</f>
        <v>0</v>
      </c>
      <c r="AP32" s="88" t="n">
        <f aca="false">H32*(1-0)</f>
        <v>0</v>
      </c>
      <c r="AQ32" s="87" t="s">
        <v>170</v>
      </c>
      <c r="AV32" s="88" t="n">
        <f aca="false">ROUND(AW32+AX32,2)</f>
        <v>0</v>
      </c>
      <c r="AW32" s="88" t="n">
        <f aca="false">ROUND(G32*AO32,2)</f>
        <v>0</v>
      </c>
      <c r="AX32" s="88" t="n">
        <f aca="false">ROUND(G32*AP32,2)</f>
        <v>0</v>
      </c>
      <c r="AY32" s="87" t="s">
        <v>209</v>
      </c>
      <c r="AZ32" s="87" t="s">
        <v>191</v>
      </c>
      <c r="BA32" s="116" t="s">
        <v>158</v>
      </c>
      <c r="BC32" s="88" t="n">
        <f aca="false">AW32+AX32</f>
        <v>0</v>
      </c>
      <c r="BD32" s="88" t="n">
        <f aca="false">H32/(100-BE32)*100</f>
        <v>0</v>
      </c>
      <c r="BE32" s="88" t="n">
        <v>0</v>
      </c>
      <c r="BF32" s="88" t="n">
        <f aca="false">M32</f>
        <v>0</v>
      </c>
      <c r="BH32" s="88" t="n">
        <f aca="false">G32*AO32</f>
        <v>0</v>
      </c>
      <c r="BI32" s="88" t="n">
        <f aca="false">G32*AP32</f>
        <v>0</v>
      </c>
      <c r="BJ32" s="88" t="n">
        <f aca="false">G32*H32</f>
        <v>0</v>
      </c>
      <c r="BK32" s="87" t="s">
        <v>159</v>
      </c>
      <c r="BL32" s="88"/>
      <c r="BW32" s="88" t="n">
        <v>21</v>
      </c>
      <c r="BX32" s="9" t="s">
        <v>218</v>
      </c>
    </row>
    <row r="33" customFormat="false" ht="15" hidden="false" customHeight="true" outlineLevel="0" collapsed="false">
      <c r="A33" s="134" t="s">
        <v>219</v>
      </c>
      <c r="B33" s="134" t="s">
        <v>104</v>
      </c>
      <c r="C33" s="134" t="s">
        <v>220</v>
      </c>
      <c r="D33" s="135" t="s">
        <v>221</v>
      </c>
      <c r="E33" s="135"/>
      <c r="F33" s="134" t="s">
        <v>179</v>
      </c>
      <c r="G33" s="136" t="n">
        <v>154.965</v>
      </c>
      <c r="H33" s="137"/>
      <c r="I33" s="137" t="n">
        <f aca="false">ROUND(G33*AO33,2)</f>
        <v>0</v>
      </c>
      <c r="J33" s="137" t="n">
        <f aca="false">ROUND(G33*AP33,2)</f>
        <v>0</v>
      </c>
      <c r="K33" s="137" t="n">
        <f aca="false">ROUND(G33*H33,2)</f>
        <v>0</v>
      </c>
      <c r="L33" s="137" t="n">
        <v>0</v>
      </c>
      <c r="M33" s="137" t="n">
        <f aca="false">G33*L33</f>
        <v>0</v>
      </c>
      <c r="N33" s="138" t="s">
        <v>155</v>
      </c>
      <c r="Z33" s="88" t="n">
        <f aca="false">ROUND(IF(AQ33="5",BJ33,0),2)</f>
        <v>0</v>
      </c>
      <c r="AB33" s="88" t="n">
        <f aca="false">ROUND(IF(AQ33="1",BH33,0),2)</f>
        <v>0</v>
      </c>
      <c r="AC33" s="88" t="n">
        <f aca="false">ROUND(IF(AQ33="1",BI33,0),2)</f>
        <v>0</v>
      </c>
      <c r="AD33" s="88" t="n">
        <f aca="false">ROUND(IF(AQ33="7",BH33,0),2)</f>
        <v>0</v>
      </c>
      <c r="AE33" s="88" t="n">
        <f aca="false">ROUND(IF(AQ33="7",BI33,0),2)</f>
        <v>0</v>
      </c>
      <c r="AF33" s="88" t="n">
        <f aca="false">ROUND(IF(AQ33="2",BH33,0),2)</f>
        <v>0</v>
      </c>
      <c r="AG33" s="88" t="n">
        <f aca="false">ROUND(IF(AQ33="2",BI33,0),2)</f>
        <v>0</v>
      </c>
      <c r="AH33" s="88" t="n">
        <f aca="false">ROUND(IF(AQ33="0",BJ33,0),2)</f>
        <v>0</v>
      </c>
      <c r="AI33" s="116" t="s">
        <v>104</v>
      </c>
      <c r="AJ33" s="88" t="n">
        <f aca="false">IF(AN33=0,K33,0)</f>
        <v>0</v>
      </c>
      <c r="AK33" s="88" t="n">
        <f aca="false">IF(AN33=12,K33,0)</f>
        <v>0</v>
      </c>
      <c r="AL33" s="88" t="n">
        <f aca="false">IF(AN33=21,K33,0)</f>
        <v>0</v>
      </c>
      <c r="AN33" s="88" t="n">
        <v>21</v>
      </c>
      <c r="AO33" s="88" t="n">
        <f aca="false">H33*0</f>
        <v>0</v>
      </c>
      <c r="AP33" s="88" t="n">
        <f aca="false">H33*(1-0)</f>
        <v>0</v>
      </c>
      <c r="AQ33" s="87" t="s">
        <v>170</v>
      </c>
      <c r="AV33" s="88" t="n">
        <f aca="false">ROUND(AW33+AX33,2)</f>
        <v>0</v>
      </c>
      <c r="AW33" s="88" t="n">
        <f aca="false">ROUND(G33*AO33,2)</f>
        <v>0</v>
      </c>
      <c r="AX33" s="88" t="n">
        <f aca="false">ROUND(G33*AP33,2)</f>
        <v>0</v>
      </c>
      <c r="AY33" s="87" t="s">
        <v>209</v>
      </c>
      <c r="AZ33" s="87" t="s">
        <v>191</v>
      </c>
      <c r="BA33" s="116" t="s">
        <v>158</v>
      </c>
      <c r="BC33" s="88" t="n">
        <f aca="false">AW33+AX33</f>
        <v>0</v>
      </c>
      <c r="BD33" s="88" t="n">
        <f aca="false">H33/(100-BE33)*100</f>
        <v>0</v>
      </c>
      <c r="BE33" s="88" t="n">
        <v>0</v>
      </c>
      <c r="BF33" s="88" t="n">
        <f aca="false">M33</f>
        <v>0</v>
      </c>
      <c r="BH33" s="88" t="n">
        <f aca="false">G33*AO33</f>
        <v>0</v>
      </c>
      <c r="BI33" s="88" t="n">
        <f aca="false">G33*AP33</f>
        <v>0</v>
      </c>
      <c r="BJ33" s="88" t="n">
        <f aca="false">G33*H33</f>
        <v>0</v>
      </c>
      <c r="BK33" s="87" t="s">
        <v>159</v>
      </c>
      <c r="BL33" s="88"/>
      <c r="BW33" s="88" t="n">
        <v>21</v>
      </c>
      <c r="BX33" s="9" t="s">
        <v>221</v>
      </c>
    </row>
    <row r="34" customFormat="false" ht="15" hidden="false" customHeight="true" outlineLevel="0" collapsed="false">
      <c r="A34" s="134" t="s">
        <v>222</v>
      </c>
      <c r="B34" s="134" t="s">
        <v>104</v>
      </c>
      <c r="C34" s="134" t="s">
        <v>223</v>
      </c>
      <c r="D34" s="135" t="s">
        <v>224</v>
      </c>
      <c r="E34" s="135"/>
      <c r="F34" s="134" t="s">
        <v>179</v>
      </c>
      <c r="G34" s="136" t="n">
        <v>0.8</v>
      </c>
      <c r="H34" s="137"/>
      <c r="I34" s="137" t="n">
        <f aca="false">ROUND(G34*AO34,2)</f>
        <v>0</v>
      </c>
      <c r="J34" s="137" t="n">
        <f aca="false">ROUND(G34*AP34,2)</f>
        <v>0</v>
      </c>
      <c r="K34" s="137" t="n">
        <f aca="false">ROUND(G34*H34,2)</f>
        <v>0</v>
      </c>
      <c r="L34" s="137" t="n">
        <v>0</v>
      </c>
      <c r="M34" s="137" t="n">
        <f aca="false">G34*L34</f>
        <v>0</v>
      </c>
      <c r="N34" s="138" t="s">
        <v>155</v>
      </c>
      <c r="Z34" s="88" t="n">
        <f aca="false">ROUND(IF(AQ34="5",BJ34,0),2)</f>
        <v>0</v>
      </c>
      <c r="AB34" s="88" t="n">
        <f aca="false">ROUND(IF(AQ34="1",BH34,0),2)</f>
        <v>0</v>
      </c>
      <c r="AC34" s="88" t="n">
        <f aca="false">ROUND(IF(AQ34="1",BI34,0),2)</f>
        <v>0</v>
      </c>
      <c r="AD34" s="88" t="n">
        <f aca="false">ROUND(IF(AQ34="7",BH34,0),2)</f>
        <v>0</v>
      </c>
      <c r="AE34" s="88" t="n">
        <f aca="false">ROUND(IF(AQ34="7",BI34,0),2)</f>
        <v>0</v>
      </c>
      <c r="AF34" s="88" t="n">
        <f aca="false">ROUND(IF(AQ34="2",BH34,0),2)</f>
        <v>0</v>
      </c>
      <c r="AG34" s="88" t="n">
        <f aca="false">ROUND(IF(AQ34="2",BI34,0),2)</f>
        <v>0</v>
      </c>
      <c r="AH34" s="88" t="n">
        <f aca="false">ROUND(IF(AQ34="0",BJ34,0),2)</f>
        <v>0</v>
      </c>
      <c r="AI34" s="116" t="s">
        <v>104</v>
      </c>
      <c r="AJ34" s="88" t="n">
        <f aca="false">IF(AN34=0,K34,0)</f>
        <v>0</v>
      </c>
      <c r="AK34" s="88" t="n">
        <f aca="false">IF(AN34=12,K34,0)</f>
        <v>0</v>
      </c>
      <c r="AL34" s="88" t="n">
        <f aca="false">IF(AN34=21,K34,0)</f>
        <v>0</v>
      </c>
      <c r="AN34" s="88" t="n">
        <v>21</v>
      </c>
      <c r="AO34" s="88" t="n">
        <f aca="false">H34*0</f>
        <v>0</v>
      </c>
      <c r="AP34" s="88" t="n">
        <f aca="false">H34*(1-0)</f>
        <v>0</v>
      </c>
      <c r="AQ34" s="87" t="s">
        <v>170</v>
      </c>
      <c r="AV34" s="88" t="n">
        <f aca="false">ROUND(AW34+AX34,2)</f>
        <v>0</v>
      </c>
      <c r="AW34" s="88" t="n">
        <f aca="false">ROUND(G34*AO34,2)</f>
        <v>0</v>
      </c>
      <c r="AX34" s="88" t="n">
        <f aca="false">ROUND(G34*AP34,2)</f>
        <v>0</v>
      </c>
      <c r="AY34" s="87" t="s">
        <v>209</v>
      </c>
      <c r="AZ34" s="87" t="s">
        <v>191</v>
      </c>
      <c r="BA34" s="116" t="s">
        <v>158</v>
      </c>
      <c r="BC34" s="88" t="n">
        <f aca="false">AW34+AX34</f>
        <v>0</v>
      </c>
      <c r="BD34" s="88" t="n">
        <f aca="false">H34/(100-BE34)*100</f>
        <v>0</v>
      </c>
      <c r="BE34" s="88" t="n">
        <v>0</v>
      </c>
      <c r="BF34" s="88" t="n">
        <f aca="false">M34</f>
        <v>0</v>
      </c>
      <c r="BH34" s="88" t="n">
        <f aca="false">G34*AO34</f>
        <v>0</v>
      </c>
      <c r="BI34" s="88" t="n">
        <f aca="false">G34*AP34</f>
        <v>0</v>
      </c>
      <c r="BJ34" s="88" t="n">
        <f aca="false">G34*H34</f>
        <v>0</v>
      </c>
      <c r="BK34" s="87" t="s">
        <v>159</v>
      </c>
      <c r="BL34" s="88"/>
      <c r="BW34" s="88" t="n">
        <v>21</v>
      </c>
      <c r="BX34" s="9" t="s">
        <v>224</v>
      </c>
    </row>
    <row r="35" customFormat="false" ht="24.05" hidden="false" customHeight="true" outlineLevel="0" collapsed="false">
      <c r="A35" s="134" t="s">
        <v>225</v>
      </c>
      <c r="B35" s="134" t="s">
        <v>104</v>
      </c>
      <c r="C35" s="134" t="s">
        <v>226</v>
      </c>
      <c r="D35" s="135" t="s">
        <v>227</v>
      </c>
      <c r="E35" s="135"/>
      <c r="F35" s="134" t="s">
        <v>179</v>
      </c>
      <c r="G35" s="136" t="n">
        <v>0.672</v>
      </c>
      <c r="H35" s="137"/>
      <c r="I35" s="137" t="n">
        <f aca="false">ROUND(G35*AO35,2)</f>
        <v>0</v>
      </c>
      <c r="J35" s="137" t="n">
        <f aca="false">ROUND(G35*AP35,2)</f>
        <v>0</v>
      </c>
      <c r="K35" s="137" t="n">
        <f aca="false">ROUND(G35*H35,2)</f>
        <v>0</v>
      </c>
      <c r="L35" s="137" t="n">
        <v>0</v>
      </c>
      <c r="M35" s="137" t="n">
        <f aca="false">G35*L35</f>
        <v>0</v>
      </c>
      <c r="N35" s="138" t="s">
        <v>155</v>
      </c>
      <c r="Z35" s="88" t="n">
        <f aca="false">ROUND(IF(AQ35="5",BJ35,0),2)</f>
        <v>0</v>
      </c>
      <c r="AB35" s="88" t="n">
        <f aca="false">ROUND(IF(AQ35="1",BH35,0),2)</f>
        <v>0</v>
      </c>
      <c r="AC35" s="88" t="n">
        <f aca="false">ROUND(IF(AQ35="1",BI35,0),2)</f>
        <v>0</v>
      </c>
      <c r="AD35" s="88" t="n">
        <f aca="false">ROUND(IF(AQ35="7",BH35,0),2)</f>
        <v>0</v>
      </c>
      <c r="AE35" s="88" t="n">
        <f aca="false">ROUND(IF(AQ35="7",BI35,0),2)</f>
        <v>0</v>
      </c>
      <c r="AF35" s="88" t="n">
        <f aca="false">ROUND(IF(AQ35="2",BH35,0),2)</f>
        <v>0</v>
      </c>
      <c r="AG35" s="88" t="n">
        <f aca="false">ROUND(IF(AQ35="2",BI35,0),2)</f>
        <v>0</v>
      </c>
      <c r="AH35" s="88" t="n">
        <f aca="false">ROUND(IF(AQ35="0",BJ35,0),2)</f>
        <v>0</v>
      </c>
      <c r="AI35" s="116" t="s">
        <v>104</v>
      </c>
      <c r="AJ35" s="88" t="n">
        <f aca="false">IF(AN35=0,K35,0)</f>
        <v>0</v>
      </c>
      <c r="AK35" s="88" t="n">
        <f aca="false">IF(AN35=12,K35,0)</f>
        <v>0</v>
      </c>
      <c r="AL35" s="88" t="n">
        <f aca="false">IF(AN35=21,K35,0)</f>
        <v>0</v>
      </c>
      <c r="AN35" s="88" t="n">
        <v>21</v>
      </c>
      <c r="AO35" s="88" t="n">
        <f aca="false">H35*0</f>
        <v>0</v>
      </c>
      <c r="AP35" s="88" t="n">
        <f aca="false">H35*(1-0)</f>
        <v>0</v>
      </c>
      <c r="AQ35" s="87" t="s">
        <v>170</v>
      </c>
      <c r="AV35" s="88" t="n">
        <f aca="false">ROUND(AW35+AX35,2)</f>
        <v>0</v>
      </c>
      <c r="AW35" s="88" t="n">
        <f aca="false">ROUND(G35*AO35,2)</f>
        <v>0</v>
      </c>
      <c r="AX35" s="88" t="n">
        <f aca="false">ROUND(G35*AP35,2)</f>
        <v>0</v>
      </c>
      <c r="AY35" s="87" t="s">
        <v>209</v>
      </c>
      <c r="AZ35" s="87" t="s">
        <v>191</v>
      </c>
      <c r="BA35" s="116" t="s">
        <v>158</v>
      </c>
      <c r="BC35" s="88" t="n">
        <f aca="false">AW35+AX35</f>
        <v>0</v>
      </c>
      <c r="BD35" s="88" t="n">
        <f aca="false">H35/(100-BE35)*100</f>
        <v>0</v>
      </c>
      <c r="BE35" s="88" t="n">
        <v>0</v>
      </c>
      <c r="BF35" s="88" t="n">
        <f aca="false">M35</f>
        <v>0</v>
      </c>
      <c r="BH35" s="88" t="n">
        <f aca="false">G35*AO35</f>
        <v>0</v>
      </c>
      <c r="BI35" s="88" t="n">
        <f aca="false">G35*AP35</f>
        <v>0</v>
      </c>
      <c r="BJ35" s="88" t="n">
        <f aca="false">G35*H35</f>
        <v>0</v>
      </c>
      <c r="BK35" s="87" t="s">
        <v>159</v>
      </c>
      <c r="BL35" s="88"/>
      <c r="BW35" s="88" t="n">
        <v>21</v>
      </c>
      <c r="BX35" s="9" t="s">
        <v>227</v>
      </c>
    </row>
    <row r="36" customFormat="false" ht="24.05" hidden="false" customHeight="true" outlineLevel="0" collapsed="false">
      <c r="A36" s="134" t="s">
        <v>228</v>
      </c>
      <c r="B36" s="134" t="s">
        <v>104</v>
      </c>
      <c r="C36" s="134" t="s">
        <v>229</v>
      </c>
      <c r="D36" s="135" t="s">
        <v>230</v>
      </c>
      <c r="E36" s="135"/>
      <c r="F36" s="134" t="s">
        <v>179</v>
      </c>
      <c r="G36" s="136" t="n">
        <v>7.988</v>
      </c>
      <c r="H36" s="137"/>
      <c r="I36" s="137" t="n">
        <f aca="false">ROUND(G36*AO36,2)</f>
        <v>0</v>
      </c>
      <c r="J36" s="137" t="n">
        <f aca="false">ROUND(G36*AP36,2)</f>
        <v>0</v>
      </c>
      <c r="K36" s="137" t="n">
        <f aca="false">ROUND(G36*H36,2)</f>
        <v>0</v>
      </c>
      <c r="L36" s="137" t="n">
        <v>0</v>
      </c>
      <c r="M36" s="137" t="n">
        <f aca="false">G36*L36</f>
        <v>0</v>
      </c>
      <c r="N36" s="138" t="s">
        <v>155</v>
      </c>
      <c r="Z36" s="88" t="n">
        <f aca="false">ROUND(IF(AQ36="5",BJ36,0),2)</f>
        <v>0</v>
      </c>
      <c r="AB36" s="88" t="n">
        <f aca="false">ROUND(IF(AQ36="1",BH36,0),2)</f>
        <v>0</v>
      </c>
      <c r="AC36" s="88" t="n">
        <f aca="false">ROUND(IF(AQ36="1",BI36,0),2)</f>
        <v>0</v>
      </c>
      <c r="AD36" s="88" t="n">
        <f aca="false">ROUND(IF(AQ36="7",BH36,0),2)</f>
        <v>0</v>
      </c>
      <c r="AE36" s="88" t="n">
        <f aca="false">ROUND(IF(AQ36="7",BI36,0),2)</f>
        <v>0</v>
      </c>
      <c r="AF36" s="88" t="n">
        <f aca="false">ROUND(IF(AQ36="2",BH36,0),2)</f>
        <v>0</v>
      </c>
      <c r="AG36" s="88" t="n">
        <f aca="false">ROUND(IF(AQ36="2",BI36,0),2)</f>
        <v>0</v>
      </c>
      <c r="AH36" s="88" t="n">
        <f aca="false">ROUND(IF(AQ36="0",BJ36,0),2)</f>
        <v>0</v>
      </c>
      <c r="AI36" s="116" t="s">
        <v>104</v>
      </c>
      <c r="AJ36" s="88" t="n">
        <f aca="false">IF(AN36=0,K36,0)</f>
        <v>0</v>
      </c>
      <c r="AK36" s="88" t="n">
        <f aca="false">IF(AN36=12,K36,0)</f>
        <v>0</v>
      </c>
      <c r="AL36" s="88" t="n">
        <f aca="false">IF(AN36=21,K36,0)</f>
        <v>0</v>
      </c>
      <c r="AN36" s="88" t="n">
        <v>21</v>
      </c>
      <c r="AO36" s="88" t="n">
        <f aca="false">H36*0</f>
        <v>0</v>
      </c>
      <c r="AP36" s="88" t="n">
        <f aca="false">H36*(1-0)</f>
        <v>0</v>
      </c>
      <c r="AQ36" s="87" t="s">
        <v>170</v>
      </c>
      <c r="AV36" s="88" t="n">
        <f aca="false">ROUND(AW36+AX36,2)</f>
        <v>0</v>
      </c>
      <c r="AW36" s="88" t="n">
        <f aca="false">ROUND(G36*AO36,2)</f>
        <v>0</v>
      </c>
      <c r="AX36" s="88" t="n">
        <f aca="false">ROUND(G36*AP36,2)</f>
        <v>0</v>
      </c>
      <c r="AY36" s="87" t="s">
        <v>209</v>
      </c>
      <c r="AZ36" s="87" t="s">
        <v>191</v>
      </c>
      <c r="BA36" s="116" t="s">
        <v>158</v>
      </c>
      <c r="BC36" s="88" t="n">
        <f aca="false">AW36+AX36</f>
        <v>0</v>
      </c>
      <c r="BD36" s="88" t="n">
        <f aca="false">H36/(100-BE36)*100</f>
        <v>0</v>
      </c>
      <c r="BE36" s="88" t="n">
        <v>0</v>
      </c>
      <c r="BF36" s="88" t="n">
        <f aca="false">M36</f>
        <v>0</v>
      </c>
      <c r="BH36" s="88" t="n">
        <f aca="false">G36*AO36</f>
        <v>0</v>
      </c>
      <c r="BI36" s="88" t="n">
        <f aca="false">G36*AP36</f>
        <v>0</v>
      </c>
      <c r="BJ36" s="88" t="n">
        <f aca="false">G36*H36</f>
        <v>0</v>
      </c>
      <c r="BK36" s="87" t="s">
        <v>159</v>
      </c>
      <c r="BL36" s="88"/>
      <c r="BW36" s="88" t="n">
        <v>21</v>
      </c>
      <c r="BX36" s="9" t="s">
        <v>230</v>
      </c>
    </row>
    <row r="37" customFormat="false" ht="24.05" hidden="false" customHeight="true" outlineLevel="0" collapsed="false">
      <c r="A37" s="134" t="s">
        <v>231</v>
      </c>
      <c r="B37" s="134" t="s">
        <v>104</v>
      </c>
      <c r="C37" s="134" t="s">
        <v>232</v>
      </c>
      <c r="D37" s="135" t="s">
        <v>233</v>
      </c>
      <c r="E37" s="135"/>
      <c r="F37" s="134" t="s">
        <v>179</v>
      </c>
      <c r="G37" s="136" t="n">
        <v>0.87</v>
      </c>
      <c r="H37" s="137"/>
      <c r="I37" s="137" t="n">
        <f aca="false">ROUND(G37*AO37,2)</f>
        <v>0</v>
      </c>
      <c r="J37" s="137" t="n">
        <f aca="false">ROUND(G37*AP37,2)</f>
        <v>0</v>
      </c>
      <c r="K37" s="137" t="n">
        <f aca="false">ROUND(G37*H37,2)</f>
        <v>0</v>
      </c>
      <c r="L37" s="137" t="n">
        <v>0</v>
      </c>
      <c r="M37" s="137" t="n">
        <f aca="false">G37*L37</f>
        <v>0</v>
      </c>
      <c r="N37" s="138" t="s">
        <v>155</v>
      </c>
      <c r="Z37" s="88" t="n">
        <f aca="false">ROUND(IF(AQ37="5",BJ37,0),2)</f>
        <v>0</v>
      </c>
      <c r="AB37" s="88" t="n">
        <f aca="false">ROUND(IF(AQ37="1",BH37,0),2)</f>
        <v>0</v>
      </c>
      <c r="AC37" s="88" t="n">
        <f aca="false">ROUND(IF(AQ37="1",BI37,0),2)</f>
        <v>0</v>
      </c>
      <c r="AD37" s="88" t="n">
        <f aca="false">ROUND(IF(AQ37="7",BH37,0),2)</f>
        <v>0</v>
      </c>
      <c r="AE37" s="88" t="n">
        <f aca="false">ROUND(IF(AQ37="7",BI37,0),2)</f>
        <v>0</v>
      </c>
      <c r="AF37" s="88" t="n">
        <f aca="false">ROUND(IF(AQ37="2",BH37,0),2)</f>
        <v>0</v>
      </c>
      <c r="AG37" s="88" t="n">
        <f aca="false">ROUND(IF(AQ37="2",BI37,0),2)</f>
        <v>0</v>
      </c>
      <c r="AH37" s="88" t="n">
        <f aca="false">ROUND(IF(AQ37="0",BJ37,0),2)</f>
        <v>0</v>
      </c>
      <c r="AI37" s="116" t="s">
        <v>104</v>
      </c>
      <c r="AJ37" s="88" t="n">
        <f aca="false">IF(AN37=0,K37,0)</f>
        <v>0</v>
      </c>
      <c r="AK37" s="88" t="n">
        <f aca="false">IF(AN37=12,K37,0)</f>
        <v>0</v>
      </c>
      <c r="AL37" s="88" t="n">
        <f aca="false">IF(AN37=21,K37,0)</f>
        <v>0</v>
      </c>
      <c r="AN37" s="88" t="n">
        <v>21</v>
      </c>
      <c r="AO37" s="88" t="n">
        <f aca="false">H37*0</f>
        <v>0</v>
      </c>
      <c r="AP37" s="88" t="n">
        <f aca="false">H37*(1-0)</f>
        <v>0</v>
      </c>
      <c r="AQ37" s="87" t="s">
        <v>170</v>
      </c>
      <c r="AV37" s="88" t="n">
        <f aca="false">ROUND(AW37+AX37,2)</f>
        <v>0</v>
      </c>
      <c r="AW37" s="88" t="n">
        <f aca="false">ROUND(G37*AO37,2)</f>
        <v>0</v>
      </c>
      <c r="AX37" s="88" t="n">
        <f aca="false">ROUND(G37*AP37,2)</f>
        <v>0</v>
      </c>
      <c r="AY37" s="87" t="s">
        <v>209</v>
      </c>
      <c r="AZ37" s="87" t="s">
        <v>191</v>
      </c>
      <c r="BA37" s="116" t="s">
        <v>158</v>
      </c>
      <c r="BC37" s="88" t="n">
        <f aca="false">AW37+AX37</f>
        <v>0</v>
      </c>
      <c r="BD37" s="88" t="n">
        <f aca="false">H37/(100-BE37)*100</f>
        <v>0</v>
      </c>
      <c r="BE37" s="88" t="n">
        <v>0</v>
      </c>
      <c r="BF37" s="88" t="n">
        <f aca="false">M37</f>
        <v>0</v>
      </c>
      <c r="BH37" s="88" t="n">
        <f aca="false">G37*AO37</f>
        <v>0</v>
      </c>
      <c r="BI37" s="88" t="n">
        <f aca="false">G37*AP37</f>
        <v>0</v>
      </c>
      <c r="BJ37" s="88" t="n">
        <f aca="false">G37*H37</f>
        <v>0</v>
      </c>
      <c r="BK37" s="87" t="s">
        <v>159</v>
      </c>
      <c r="BL37" s="88"/>
      <c r="BW37" s="88" t="n">
        <v>21</v>
      </c>
      <c r="BX37" s="9" t="s">
        <v>233</v>
      </c>
    </row>
    <row r="38" customFormat="false" ht="19.85" hidden="false" customHeight="true" outlineLevel="0" collapsed="false">
      <c r="A38" s="89"/>
      <c r="B38" s="147" t="s">
        <v>107</v>
      </c>
      <c r="C38" s="147"/>
      <c r="D38" s="148" t="s">
        <v>108</v>
      </c>
      <c r="E38" s="148"/>
      <c r="F38" s="89" t="s">
        <v>97</v>
      </c>
      <c r="G38" s="149" t="s">
        <v>97</v>
      </c>
      <c r="H38" s="89"/>
      <c r="I38" s="150" t="n">
        <f aca="false">ROUND(SUM(I39,I53,I68,I73,I76),2)</f>
        <v>0</v>
      </c>
      <c r="J38" s="150" t="n">
        <f aca="false">ROUND(SUM(J39,J53,J68,J73,J76),2)</f>
        <v>0</v>
      </c>
      <c r="K38" s="150" t="n">
        <f aca="false">ROUND(SUM(K39,K53,K68,K73,K76),2)</f>
        <v>0</v>
      </c>
      <c r="L38" s="151"/>
      <c r="M38" s="150" t="n">
        <f aca="false">SUM(M39,M53,M68,M73,M76)</f>
        <v>39.2930456</v>
      </c>
      <c r="N38" s="151"/>
    </row>
    <row r="39" customFormat="false" ht="15" hidden="false" customHeight="true" outlineLevel="0" collapsed="false">
      <c r="A39" s="128"/>
      <c r="B39" s="129" t="s">
        <v>107</v>
      </c>
      <c r="C39" s="129" t="s">
        <v>206</v>
      </c>
      <c r="D39" s="130" t="s">
        <v>234</v>
      </c>
      <c r="E39" s="130"/>
      <c r="F39" s="128" t="s">
        <v>97</v>
      </c>
      <c r="G39" s="131" t="s">
        <v>97</v>
      </c>
      <c r="H39" s="128"/>
      <c r="I39" s="132" t="n">
        <f aca="false">ROUND(SUM(I40:I52),2)</f>
        <v>0</v>
      </c>
      <c r="J39" s="132" t="n">
        <f aca="false">ROUND(SUM(J40:J52),2)</f>
        <v>0</v>
      </c>
      <c r="K39" s="132" t="n">
        <f aca="false">ROUND(SUM(K40:K52),2)</f>
        <v>0</v>
      </c>
      <c r="L39" s="133"/>
      <c r="M39" s="132" t="n">
        <f aca="false">SUM(M40:M52)</f>
        <v>0</v>
      </c>
      <c r="N39" s="133"/>
      <c r="AI39" s="116" t="s">
        <v>107</v>
      </c>
      <c r="AS39" s="107" t="n">
        <f aca="false">SUM(AJ40:AJ52)</f>
        <v>0</v>
      </c>
      <c r="AT39" s="107" t="n">
        <f aca="false">SUM(AK40:AK52)</f>
        <v>0</v>
      </c>
      <c r="AU39" s="107" t="n">
        <f aca="false">SUM(AL40:AL52)</f>
        <v>0</v>
      </c>
    </row>
    <row r="40" customFormat="false" ht="15" hidden="false" customHeight="true" outlineLevel="0" collapsed="false">
      <c r="A40" s="134" t="s">
        <v>235</v>
      </c>
      <c r="B40" s="134" t="s">
        <v>107</v>
      </c>
      <c r="C40" s="134" t="s">
        <v>236</v>
      </c>
      <c r="D40" s="135" t="s">
        <v>237</v>
      </c>
      <c r="E40" s="135"/>
      <c r="F40" s="134" t="s">
        <v>189</v>
      </c>
      <c r="G40" s="136" t="n">
        <v>2.01</v>
      </c>
      <c r="H40" s="137"/>
      <c r="I40" s="137" t="n">
        <f aca="false">ROUND(G40*AO40,2)</f>
        <v>0</v>
      </c>
      <c r="J40" s="137" t="n">
        <f aca="false">ROUND(G40*AP40,2)</f>
        <v>0</v>
      </c>
      <c r="K40" s="137" t="n">
        <f aca="false">ROUND(G40*H40,2)</f>
        <v>0</v>
      </c>
      <c r="L40" s="137" t="n">
        <v>0</v>
      </c>
      <c r="M40" s="137" t="n">
        <f aca="false">G40*L40</f>
        <v>0</v>
      </c>
      <c r="N40" s="138" t="s">
        <v>155</v>
      </c>
      <c r="Z40" s="88" t="n">
        <f aca="false">ROUND(IF(AQ40="5",BJ40,0),2)</f>
        <v>0</v>
      </c>
      <c r="AB40" s="88" t="n">
        <f aca="false">ROUND(IF(AQ40="1",BH40,0),2)</f>
        <v>0</v>
      </c>
      <c r="AC40" s="88" t="n">
        <f aca="false">ROUND(IF(AQ40="1",BI40,0),2)</f>
        <v>0</v>
      </c>
      <c r="AD40" s="88" t="n">
        <f aca="false">ROUND(IF(AQ40="7",BH40,0),2)</f>
        <v>0</v>
      </c>
      <c r="AE40" s="88" t="n">
        <f aca="false">ROUND(IF(AQ40="7",BI40,0),2)</f>
        <v>0</v>
      </c>
      <c r="AF40" s="88" t="n">
        <f aca="false">ROUND(IF(AQ40="2",BH40,0),2)</f>
        <v>0</v>
      </c>
      <c r="AG40" s="88" t="n">
        <f aca="false">ROUND(IF(AQ40="2",BI40,0),2)</f>
        <v>0</v>
      </c>
      <c r="AH40" s="88" t="n">
        <f aca="false">ROUND(IF(AQ40="0",BJ40,0),2)</f>
        <v>0</v>
      </c>
      <c r="AI40" s="116" t="s">
        <v>107</v>
      </c>
      <c r="AJ40" s="88" t="n">
        <f aca="false">IF(AN40=0,K40,0)</f>
        <v>0</v>
      </c>
      <c r="AK40" s="88" t="n">
        <f aca="false">IF(AN40=12,K40,0)</f>
        <v>0</v>
      </c>
      <c r="AL40" s="88" t="n">
        <f aca="false">IF(AN40=21,K40,0)</f>
        <v>0</v>
      </c>
      <c r="AN40" s="88" t="n">
        <v>21</v>
      </c>
      <c r="AO40" s="88" t="n">
        <f aca="false">H40*0</f>
        <v>0</v>
      </c>
      <c r="AP40" s="88" t="n">
        <f aca="false">H40*(1-0)</f>
        <v>0</v>
      </c>
      <c r="AQ40" s="87" t="s">
        <v>151</v>
      </c>
      <c r="AV40" s="88" t="n">
        <f aca="false">ROUND(AW40+AX40,2)</f>
        <v>0</v>
      </c>
      <c r="AW40" s="88" t="n">
        <f aca="false">ROUND(G40*AO40,2)</f>
        <v>0</v>
      </c>
      <c r="AX40" s="88" t="n">
        <f aca="false">ROUND(G40*AP40,2)</f>
        <v>0</v>
      </c>
      <c r="AY40" s="87" t="s">
        <v>238</v>
      </c>
      <c r="AZ40" s="87" t="s">
        <v>239</v>
      </c>
      <c r="BA40" s="116" t="s">
        <v>240</v>
      </c>
      <c r="BC40" s="88" t="n">
        <f aca="false">AW40+AX40</f>
        <v>0</v>
      </c>
      <c r="BD40" s="88" t="n">
        <f aca="false">H40/(100-BE40)*100</f>
        <v>0</v>
      </c>
      <c r="BE40" s="88" t="n">
        <v>0</v>
      </c>
      <c r="BF40" s="88" t="n">
        <f aca="false">M40</f>
        <v>0</v>
      </c>
      <c r="BH40" s="88" t="n">
        <f aca="false">G40*AO40</f>
        <v>0</v>
      </c>
      <c r="BI40" s="88" t="n">
        <f aca="false">G40*AP40</f>
        <v>0</v>
      </c>
      <c r="BJ40" s="88" t="n">
        <f aca="false">G40*H40</f>
        <v>0</v>
      </c>
      <c r="BK40" s="87" t="s">
        <v>159</v>
      </c>
      <c r="BL40" s="88" t="n">
        <v>13</v>
      </c>
      <c r="BW40" s="88" t="n">
        <v>21</v>
      </c>
      <c r="BX40" s="9" t="s">
        <v>237</v>
      </c>
    </row>
    <row r="41" customFormat="false" ht="23.85" hidden="false" customHeight="true" outlineLevel="0" collapsed="false">
      <c r="A41" s="134" t="s">
        <v>241</v>
      </c>
      <c r="B41" s="134" t="s">
        <v>107</v>
      </c>
      <c r="C41" s="134" t="s">
        <v>242</v>
      </c>
      <c r="D41" s="135" t="s">
        <v>243</v>
      </c>
      <c r="E41" s="135"/>
      <c r="F41" s="134" t="s">
        <v>189</v>
      </c>
      <c r="G41" s="136" t="n">
        <v>2.193</v>
      </c>
      <c r="H41" s="137"/>
      <c r="I41" s="137" t="n">
        <f aca="false">ROUND(G41*AO41,2)</f>
        <v>0</v>
      </c>
      <c r="J41" s="137" t="n">
        <f aca="false">ROUND(G41*AP41,2)</f>
        <v>0</v>
      </c>
      <c r="K41" s="137" t="n">
        <f aca="false">ROUND(G41*H41,2)</f>
        <v>0</v>
      </c>
      <c r="L41" s="137" t="n">
        <v>0</v>
      </c>
      <c r="M41" s="137" t="n">
        <f aca="false">G41*L41</f>
        <v>0</v>
      </c>
      <c r="N41" s="138" t="s">
        <v>155</v>
      </c>
      <c r="Z41" s="88" t="n">
        <f aca="false">ROUND(IF(AQ41="5",BJ41,0),2)</f>
        <v>0</v>
      </c>
      <c r="AB41" s="88" t="n">
        <f aca="false">ROUND(IF(AQ41="1",BH41,0),2)</f>
        <v>0</v>
      </c>
      <c r="AC41" s="88" t="n">
        <f aca="false">ROUND(IF(AQ41="1",BI41,0),2)</f>
        <v>0</v>
      </c>
      <c r="AD41" s="88" t="n">
        <f aca="false">ROUND(IF(AQ41="7",BH41,0),2)</f>
        <v>0</v>
      </c>
      <c r="AE41" s="88" t="n">
        <f aca="false">ROUND(IF(AQ41="7",BI41,0),2)</f>
        <v>0</v>
      </c>
      <c r="AF41" s="88" t="n">
        <f aca="false">ROUND(IF(AQ41="2",BH41,0),2)</f>
        <v>0</v>
      </c>
      <c r="AG41" s="88" t="n">
        <f aca="false">ROUND(IF(AQ41="2",BI41,0),2)</f>
        <v>0</v>
      </c>
      <c r="AH41" s="88" t="n">
        <f aca="false">ROUND(IF(AQ41="0",BJ41,0),2)</f>
        <v>0</v>
      </c>
      <c r="AI41" s="116" t="s">
        <v>107</v>
      </c>
      <c r="AJ41" s="88" t="n">
        <f aca="false">IF(AN41=0,K41,0)</f>
        <v>0</v>
      </c>
      <c r="AK41" s="88" t="n">
        <f aca="false">IF(AN41=12,K41,0)</f>
        <v>0</v>
      </c>
      <c r="AL41" s="88" t="n">
        <f aca="false">IF(AN41=21,K41,0)</f>
        <v>0</v>
      </c>
      <c r="AN41" s="88" t="n">
        <v>21</v>
      </c>
      <c r="AO41" s="88" t="n">
        <f aca="false">H41*0</f>
        <v>0</v>
      </c>
      <c r="AP41" s="88" t="n">
        <f aca="false">H41*(1-0)</f>
        <v>0</v>
      </c>
      <c r="AQ41" s="87" t="s">
        <v>151</v>
      </c>
      <c r="AV41" s="88" t="n">
        <f aca="false">ROUND(AW41+AX41,2)</f>
        <v>0</v>
      </c>
      <c r="AW41" s="88" t="n">
        <f aca="false">ROUND(G41*AO41,2)</f>
        <v>0</v>
      </c>
      <c r="AX41" s="88" t="n">
        <f aca="false">ROUND(G41*AP41,2)</f>
        <v>0</v>
      </c>
      <c r="AY41" s="87" t="s">
        <v>238</v>
      </c>
      <c r="AZ41" s="87" t="s">
        <v>239</v>
      </c>
      <c r="BA41" s="116" t="s">
        <v>240</v>
      </c>
      <c r="BC41" s="88" t="n">
        <f aca="false">AW41+AX41</f>
        <v>0</v>
      </c>
      <c r="BD41" s="88" t="n">
        <f aca="false">H41/(100-BE41)*100</f>
        <v>0</v>
      </c>
      <c r="BE41" s="88" t="n">
        <v>0</v>
      </c>
      <c r="BF41" s="88" t="n">
        <f aca="false">M41</f>
        <v>0</v>
      </c>
      <c r="BH41" s="88" t="n">
        <f aca="false">G41*AO41</f>
        <v>0</v>
      </c>
      <c r="BI41" s="88" t="n">
        <f aca="false">G41*AP41</f>
        <v>0</v>
      </c>
      <c r="BJ41" s="88" t="n">
        <f aca="false">G41*H41</f>
        <v>0</v>
      </c>
      <c r="BK41" s="87" t="s">
        <v>159</v>
      </c>
      <c r="BL41" s="88" t="n">
        <v>13</v>
      </c>
      <c r="BW41" s="88" t="n">
        <v>21</v>
      </c>
      <c r="BX41" s="9" t="s">
        <v>243</v>
      </c>
    </row>
    <row r="42" customFormat="false" ht="23.85" hidden="false" customHeight="true" outlineLevel="0" collapsed="false">
      <c r="A42" s="134" t="s">
        <v>244</v>
      </c>
      <c r="B42" s="134" t="s">
        <v>107</v>
      </c>
      <c r="C42" s="134" t="s">
        <v>245</v>
      </c>
      <c r="D42" s="135" t="s">
        <v>246</v>
      </c>
      <c r="E42" s="135"/>
      <c r="F42" s="134" t="s">
        <v>189</v>
      </c>
      <c r="G42" s="136" t="n">
        <v>5.184</v>
      </c>
      <c r="H42" s="137"/>
      <c r="I42" s="137" t="n">
        <f aca="false">ROUND(G42*AO42,2)</f>
        <v>0</v>
      </c>
      <c r="J42" s="137" t="n">
        <f aca="false">ROUND(G42*AP42,2)</f>
        <v>0</v>
      </c>
      <c r="K42" s="137" t="n">
        <f aca="false">ROUND(G42*H42,2)</f>
        <v>0</v>
      </c>
      <c r="L42" s="137" t="n">
        <v>0</v>
      </c>
      <c r="M42" s="137" t="n">
        <f aca="false">G42*L42</f>
        <v>0</v>
      </c>
      <c r="N42" s="138" t="s">
        <v>155</v>
      </c>
      <c r="Z42" s="88" t="n">
        <f aca="false">ROUND(IF(AQ42="5",BJ42,0),2)</f>
        <v>0</v>
      </c>
      <c r="AB42" s="88" t="n">
        <f aca="false">ROUND(IF(AQ42="1",BH42,0),2)</f>
        <v>0</v>
      </c>
      <c r="AC42" s="88" t="n">
        <f aca="false">ROUND(IF(AQ42="1",BI42,0),2)</f>
        <v>0</v>
      </c>
      <c r="AD42" s="88" t="n">
        <f aca="false">ROUND(IF(AQ42="7",BH42,0),2)</f>
        <v>0</v>
      </c>
      <c r="AE42" s="88" t="n">
        <f aca="false">ROUND(IF(AQ42="7",BI42,0),2)</f>
        <v>0</v>
      </c>
      <c r="AF42" s="88" t="n">
        <f aca="false">ROUND(IF(AQ42="2",BH42,0),2)</f>
        <v>0</v>
      </c>
      <c r="AG42" s="88" t="n">
        <f aca="false">ROUND(IF(AQ42="2",BI42,0),2)</f>
        <v>0</v>
      </c>
      <c r="AH42" s="88" t="n">
        <f aca="false">ROUND(IF(AQ42="0",BJ42,0),2)</f>
        <v>0</v>
      </c>
      <c r="AI42" s="116" t="s">
        <v>107</v>
      </c>
      <c r="AJ42" s="88" t="n">
        <f aca="false">IF(AN42=0,K42,0)</f>
        <v>0</v>
      </c>
      <c r="AK42" s="88" t="n">
        <f aca="false">IF(AN42=12,K42,0)</f>
        <v>0</v>
      </c>
      <c r="AL42" s="88" t="n">
        <f aca="false">IF(AN42=21,K42,0)</f>
        <v>0</v>
      </c>
      <c r="AN42" s="88" t="n">
        <v>21</v>
      </c>
      <c r="AO42" s="88" t="n">
        <f aca="false">H42*0</f>
        <v>0</v>
      </c>
      <c r="AP42" s="88" t="n">
        <f aca="false">H42*(1-0)</f>
        <v>0</v>
      </c>
      <c r="AQ42" s="87" t="s">
        <v>151</v>
      </c>
      <c r="AV42" s="88" t="n">
        <f aca="false">ROUND(AW42+AX42,2)</f>
        <v>0</v>
      </c>
      <c r="AW42" s="88" t="n">
        <f aca="false">ROUND(G42*AO42,2)</f>
        <v>0</v>
      </c>
      <c r="AX42" s="88" t="n">
        <f aca="false">ROUND(G42*AP42,2)</f>
        <v>0</v>
      </c>
      <c r="AY42" s="87" t="s">
        <v>238</v>
      </c>
      <c r="AZ42" s="87" t="s">
        <v>239</v>
      </c>
      <c r="BA42" s="116" t="s">
        <v>240</v>
      </c>
      <c r="BC42" s="88" t="n">
        <f aca="false">AW42+AX42</f>
        <v>0</v>
      </c>
      <c r="BD42" s="88" t="n">
        <f aca="false">H42/(100-BE42)*100</f>
        <v>0</v>
      </c>
      <c r="BE42" s="88" t="n">
        <v>0</v>
      </c>
      <c r="BF42" s="88" t="n">
        <f aca="false">M42</f>
        <v>0</v>
      </c>
      <c r="BH42" s="88" t="n">
        <f aca="false">G42*AO42</f>
        <v>0</v>
      </c>
      <c r="BI42" s="88" t="n">
        <f aca="false">G42*AP42</f>
        <v>0</v>
      </c>
      <c r="BJ42" s="88" t="n">
        <f aca="false">G42*H42</f>
        <v>0</v>
      </c>
      <c r="BK42" s="87" t="s">
        <v>159</v>
      </c>
      <c r="BL42" s="88" t="n">
        <v>13</v>
      </c>
      <c r="BW42" s="88" t="n">
        <v>21</v>
      </c>
      <c r="BX42" s="9" t="s">
        <v>246</v>
      </c>
    </row>
    <row r="43" customFormat="false" ht="15" hidden="false" customHeight="true" outlineLevel="0" collapsed="false">
      <c r="A43" s="134" t="s">
        <v>247</v>
      </c>
      <c r="B43" s="134" t="s">
        <v>107</v>
      </c>
      <c r="C43" s="134" t="s">
        <v>248</v>
      </c>
      <c r="D43" s="135" t="s">
        <v>249</v>
      </c>
      <c r="E43" s="135"/>
      <c r="F43" s="134" t="s">
        <v>189</v>
      </c>
      <c r="G43" s="136" t="n">
        <v>3.906</v>
      </c>
      <c r="H43" s="137"/>
      <c r="I43" s="137" t="n">
        <f aca="false">ROUND(G43*AO43,2)</f>
        <v>0</v>
      </c>
      <c r="J43" s="137" t="n">
        <f aca="false">ROUND(G43*AP43,2)</f>
        <v>0</v>
      </c>
      <c r="K43" s="137" t="n">
        <f aca="false">ROUND(G43*H43,2)</f>
        <v>0</v>
      </c>
      <c r="L43" s="137" t="n">
        <v>0</v>
      </c>
      <c r="M43" s="137" t="n">
        <f aca="false">G43*L43</f>
        <v>0</v>
      </c>
      <c r="N43" s="138" t="s">
        <v>155</v>
      </c>
      <c r="Z43" s="88" t="n">
        <f aca="false">ROUND(IF(AQ43="5",BJ43,0),2)</f>
        <v>0</v>
      </c>
      <c r="AB43" s="88" t="n">
        <f aca="false">ROUND(IF(AQ43="1",BH43,0),2)</f>
        <v>0</v>
      </c>
      <c r="AC43" s="88" t="n">
        <f aca="false">ROUND(IF(AQ43="1",BI43,0),2)</f>
        <v>0</v>
      </c>
      <c r="AD43" s="88" t="n">
        <f aca="false">ROUND(IF(AQ43="7",BH43,0),2)</f>
        <v>0</v>
      </c>
      <c r="AE43" s="88" t="n">
        <f aca="false">ROUND(IF(AQ43="7",BI43,0),2)</f>
        <v>0</v>
      </c>
      <c r="AF43" s="88" t="n">
        <f aca="false">ROUND(IF(AQ43="2",BH43,0),2)</f>
        <v>0</v>
      </c>
      <c r="AG43" s="88" t="n">
        <f aca="false">ROUND(IF(AQ43="2",BI43,0),2)</f>
        <v>0</v>
      </c>
      <c r="AH43" s="88" t="n">
        <f aca="false">ROUND(IF(AQ43="0",BJ43,0),2)</f>
        <v>0</v>
      </c>
      <c r="AI43" s="116" t="s">
        <v>107</v>
      </c>
      <c r="AJ43" s="88" t="n">
        <f aca="false">IF(AN43=0,K43,0)</f>
        <v>0</v>
      </c>
      <c r="AK43" s="88" t="n">
        <f aca="false">IF(AN43=12,K43,0)</f>
        <v>0</v>
      </c>
      <c r="AL43" s="88" t="n">
        <f aca="false">IF(AN43=21,K43,0)</f>
        <v>0</v>
      </c>
      <c r="AN43" s="88" t="n">
        <v>21</v>
      </c>
      <c r="AO43" s="88" t="n">
        <f aca="false">H43*0</f>
        <v>0</v>
      </c>
      <c r="AP43" s="88" t="n">
        <f aca="false">H43*(1-0)</f>
        <v>0</v>
      </c>
      <c r="AQ43" s="87" t="s">
        <v>151</v>
      </c>
      <c r="AV43" s="88" t="n">
        <f aca="false">ROUND(AW43+AX43,2)</f>
        <v>0</v>
      </c>
      <c r="AW43" s="88" t="n">
        <f aca="false">ROUND(G43*AO43,2)</f>
        <v>0</v>
      </c>
      <c r="AX43" s="88" t="n">
        <f aca="false">ROUND(G43*AP43,2)</f>
        <v>0</v>
      </c>
      <c r="AY43" s="87" t="s">
        <v>238</v>
      </c>
      <c r="AZ43" s="87" t="s">
        <v>239</v>
      </c>
      <c r="BA43" s="116" t="s">
        <v>240</v>
      </c>
      <c r="BC43" s="88" t="n">
        <f aca="false">AW43+AX43</f>
        <v>0</v>
      </c>
      <c r="BD43" s="88" t="n">
        <f aca="false">H43/(100-BE43)*100</f>
        <v>0</v>
      </c>
      <c r="BE43" s="88" t="n">
        <v>0</v>
      </c>
      <c r="BF43" s="88" t="n">
        <f aca="false">M43</f>
        <v>0</v>
      </c>
      <c r="BH43" s="88" t="n">
        <f aca="false">G43*AO43</f>
        <v>0</v>
      </c>
      <c r="BI43" s="88" t="n">
        <f aca="false">G43*AP43</f>
        <v>0</v>
      </c>
      <c r="BJ43" s="88" t="n">
        <f aca="false">G43*H43</f>
        <v>0</v>
      </c>
      <c r="BK43" s="87" t="s">
        <v>159</v>
      </c>
      <c r="BL43" s="88" t="n">
        <v>13</v>
      </c>
      <c r="BW43" s="88" t="n">
        <v>21</v>
      </c>
      <c r="BX43" s="9" t="s">
        <v>249</v>
      </c>
    </row>
    <row r="44" customFormat="false" ht="23.85" hidden="false" customHeight="true" outlineLevel="0" collapsed="false">
      <c r="A44" s="134" t="s">
        <v>250</v>
      </c>
      <c r="B44" s="134" t="s">
        <v>107</v>
      </c>
      <c r="C44" s="134" t="s">
        <v>251</v>
      </c>
      <c r="D44" s="135" t="s">
        <v>252</v>
      </c>
      <c r="E44" s="135"/>
      <c r="F44" s="134" t="s">
        <v>189</v>
      </c>
      <c r="G44" s="136" t="n">
        <v>1.96</v>
      </c>
      <c r="H44" s="137"/>
      <c r="I44" s="137" t="n">
        <f aca="false">ROUND(G44*AO44,2)</f>
        <v>0</v>
      </c>
      <c r="J44" s="137" t="n">
        <f aca="false">ROUND(G44*AP44,2)</f>
        <v>0</v>
      </c>
      <c r="K44" s="137" t="n">
        <f aca="false">ROUND(G44*H44,2)</f>
        <v>0</v>
      </c>
      <c r="L44" s="137" t="n">
        <v>0</v>
      </c>
      <c r="M44" s="137" t="n">
        <f aca="false">G44*L44</f>
        <v>0</v>
      </c>
      <c r="N44" s="138" t="s">
        <v>155</v>
      </c>
      <c r="Z44" s="88" t="n">
        <f aca="false">ROUND(IF(AQ44="5",BJ44,0),2)</f>
        <v>0</v>
      </c>
      <c r="AB44" s="88" t="n">
        <f aca="false">ROUND(IF(AQ44="1",BH44,0),2)</f>
        <v>0</v>
      </c>
      <c r="AC44" s="88" t="n">
        <f aca="false">ROUND(IF(AQ44="1",BI44,0),2)</f>
        <v>0</v>
      </c>
      <c r="AD44" s="88" t="n">
        <f aca="false">ROUND(IF(AQ44="7",BH44,0),2)</f>
        <v>0</v>
      </c>
      <c r="AE44" s="88" t="n">
        <f aca="false">ROUND(IF(AQ44="7",BI44,0),2)</f>
        <v>0</v>
      </c>
      <c r="AF44" s="88" t="n">
        <f aca="false">ROUND(IF(AQ44="2",BH44,0),2)</f>
        <v>0</v>
      </c>
      <c r="AG44" s="88" t="n">
        <f aca="false">ROUND(IF(AQ44="2",BI44,0),2)</f>
        <v>0</v>
      </c>
      <c r="AH44" s="88" t="n">
        <f aca="false">ROUND(IF(AQ44="0",BJ44,0),2)</f>
        <v>0</v>
      </c>
      <c r="AI44" s="116" t="s">
        <v>107</v>
      </c>
      <c r="AJ44" s="88" t="n">
        <f aca="false">IF(AN44=0,K44,0)</f>
        <v>0</v>
      </c>
      <c r="AK44" s="88" t="n">
        <f aca="false">IF(AN44=12,K44,0)</f>
        <v>0</v>
      </c>
      <c r="AL44" s="88" t="n">
        <f aca="false">IF(AN44=21,K44,0)</f>
        <v>0</v>
      </c>
      <c r="AN44" s="88" t="n">
        <v>21</v>
      </c>
      <c r="AO44" s="88" t="n">
        <f aca="false">H44*0</f>
        <v>0</v>
      </c>
      <c r="AP44" s="88" t="n">
        <f aca="false">H44*(1-0)</f>
        <v>0</v>
      </c>
      <c r="AQ44" s="87" t="s">
        <v>151</v>
      </c>
      <c r="AV44" s="88" t="n">
        <f aca="false">ROUND(AW44+AX44,2)</f>
        <v>0</v>
      </c>
      <c r="AW44" s="88" t="n">
        <f aca="false">ROUND(G44*AO44,2)</f>
        <v>0</v>
      </c>
      <c r="AX44" s="88" t="n">
        <f aca="false">ROUND(G44*AP44,2)</f>
        <v>0</v>
      </c>
      <c r="AY44" s="87" t="s">
        <v>238</v>
      </c>
      <c r="AZ44" s="87" t="s">
        <v>239</v>
      </c>
      <c r="BA44" s="116" t="s">
        <v>240</v>
      </c>
      <c r="BC44" s="88" t="n">
        <f aca="false">AW44+AX44</f>
        <v>0</v>
      </c>
      <c r="BD44" s="88" t="n">
        <f aca="false">H44/(100-BE44)*100</f>
        <v>0</v>
      </c>
      <c r="BE44" s="88" t="n">
        <v>0</v>
      </c>
      <c r="BF44" s="88" t="n">
        <f aca="false">M44</f>
        <v>0</v>
      </c>
      <c r="BH44" s="88" t="n">
        <f aca="false">G44*AO44</f>
        <v>0</v>
      </c>
      <c r="BI44" s="88" t="n">
        <f aca="false">G44*AP44</f>
        <v>0</v>
      </c>
      <c r="BJ44" s="88" t="n">
        <f aca="false">G44*H44</f>
        <v>0</v>
      </c>
      <c r="BK44" s="87" t="s">
        <v>159</v>
      </c>
      <c r="BL44" s="88" t="n">
        <v>13</v>
      </c>
      <c r="BW44" s="88" t="n">
        <v>21</v>
      </c>
      <c r="BX44" s="9" t="s">
        <v>252</v>
      </c>
    </row>
    <row r="45" customFormat="false" ht="15" hidden="false" customHeight="true" outlineLevel="0" collapsed="false">
      <c r="A45" s="134" t="s">
        <v>253</v>
      </c>
      <c r="B45" s="134" t="s">
        <v>107</v>
      </c>
      <c r="C45" s="134" t="s">
        <v>254</v>
      </c>
      <c r="D45" s="135" t="s">
        <v>255</v>
      </c>
      <c r="E45" s="135"/>
      <c r="F45" s="134" t="s">
        <v>189</v>
      </c>
      <c r="G45" s="136" t="n">
        <v>1.96</v>
      </c>
      <c r="H45" s="137"/>
      <c r="I45" s="137" t="n">
        <f aca="false">ROUND(G45*AO45,2)</f>
        <v>0</v>
      </c>
      <c r="J45" s="137" t="n">
        <f aca="false">ROUND(G45*AP45,2)</f>
        <v>0</v>
      </c>
      <c r="K45" s="137" t="n">
        <f aca="false">ROUND(G45*H45,2)</f>
        <v>0</v>
      </c>
      <c r="L45" s="137" t="n">
        <v>0</v>
      </c>
      <c r="M45" s="137" t="n">
        <f aca="false">G45*L45</f>
        <v>0</v>
      </c>
      <c r="N45" s="138" t="s">
        <v>155</v>
      </c>
      <c r="Z45" s="88" t="n">
        <f aca="false">ROUND(IF(AQ45="5",BJ45,0),2)</f>
        <v>0</v>
      </c>
      <c r="AB45" s="88" t="n">
        <f aca="false">ROUND(IF(AQ45="1",BH45,0),2)</f>
        <v>0</v>
      </c>
      <c r="AC45" s="88" t="n">
        <f aca="false">ROUND(IF(AQ45="1",BI45,0),2)</f>
        <v>0</v>
      </c>
      <c r="AD45" s="88" t="n">
        <f aca="false">ROUND(IF(AQ45="7",BH45,0),2)</f>
        <v>0</v>
      </c>
      <c r="AE45" s="88" t="n">
        <f aca="false">ROUND(IF(AQ45="7",BI45,0),2)</f>
        <v>0</v>
      </c>
      <c r="AF45" s="88" t="n">
        <f aca="false">ROUND(IF(AQ45="2",BH45,0),2)</f>
        <v>0</v>
      </c>
      <c r="AG45" s="88" t="n">
        <f aca="false">ROUND(IF(AQ45="2",BI45,0),2)</f>
        <v>0</v>
      </c>
      <c r="AH45" s="88" t="n">
        <f aca="false">ROUND(IF(AQ45="0",BJ45,0),2)</f>
        <v>0</v>
      </c>
      <c r="AI45" s="116" t="s">
        <v>107</v>
      </c>
      <c r="AJ45" s="88" t="n">
        <f aca="false">IF(AN45=0,K45,0)</f>
        <v>0</v>
      </c>
      <c r="AK45" s="88" t="n">
        <f aca="false">IF(AN45=12,K45,0)</f>
        <v>0</v>
      </c>
      <c r="AL45" s="88" t="n">
        <f aca="false">IF(AN45=21,K45,0)</f>
        <v>0</v>
      </c>
      <c r="AN45" s="88" t="n">
        <v>21</v>
      </c>
      <c r="AO45" s="88" t="n">
        <f aca="false">H45*0</f>
        <v>0</v>
      </c>
      <c r="AP45" s="88" t="n">
        <f aca="false">H45*(1-0)</f>
        <v>0</v>
      </c>
      <c r="AQ45" s="87" t="s">
        <v>151</v>
      </c>
      <c r="AV45" s="88" t="n">
        <f aca="false">ROUND(AW45+AX45,2)</f>
        <v>0</v>
      </c>
      <c r="AW45" s="88" t="n">
        <f aca="false">ROUND(G45*AO45,2)</f>
        <v>0</v>
      </c>
      <c r="AX45" s="88" t="n">
        <f aca="false">ROUND(G45*AP45,2)</f>
        <v>0</v>
      </c>
      <c r="AY45" s="87" t="s">
        <v>238</v>
      </c>
      <c r="AZ45" s="87" t="s">
        <v>239</v>
      </c>
      <c r="BA45" s="116" t="s">
        <v>240</v>
      </c>
      <c r="BC45" s="88" t="n">
        <f aca="false">AW45+AX45</f>
        <v>0</v>
      </c>
      <c r="BD45" s="88" t="n">
        <f aca="false">H45/(100-BE45)*100</f>
        <v>0</v>
      </c>
      <c r="BE45" s="88" t="n">
        <v>0</v>
      </c>
      <c r="BF45" s="88" t="n">
        <f aca="false">M45</f>
        <v>0</v>
      </c>
      <c r="BH45" s="88" t="n">
        <f aca="false">G45*AO45</f>
        <v>0</v>
      </c>
      <c r="BI45" s="88" t="n">
        <f aca="false">G45*AP45</f>
        <v>0</v>
      </c>
      <c r="BJ45" s="88" t="n">
        <f aca="false">G45*H45</f>
        <v>0</v>
      </c>
      <c r="BK45" s="87" t="s">
        <v>159</v>
      </c>
      <c r="BL45" s="88" t="n">
        <v>13</v>
      </c>
      <c r="BW45" s="88" t="n">
        <v>21</v>
      </c>
      <c r="BX45" s="9" t="s">
        <v>255</v>
      </c>
    </row>
    <row r="46" customFormat="false" ht="23.85" hidden="false" customHeight="true" outlineLevel="0" collapsed="false">
      <c r="A46" s="134" t="s">
        <v>256</v>
      </c>
      <c r="B46" s="134" t="s">
        <v>107</v>
      </c>
      <c r="C46" s="134" t="s">
        <v>257</v>
      </c>
      <c r="D46" s="135" t="s">
        <v>258</v>
      </c>
      <c r="E46" s="135"/>
      <c r="F46" s="134" t="s">
        <v>189</v>
      </c>
      <c r="G46" s="136" t="n">
        <v>3.92</v>
      </c>
      <c r="H46" s="137"/>
      <c r="I46" s="137" t="n">
        <f aca="false">ROUND(G46*AO46,2)</f>
        <v>0</v>
      </c>
      <c r="J46" s="137" t="n">
        <f aca="false">ROUND(G46*AP46,2)</f>
        <v>0</v>
      </c>
      <c r="K46" s="137" t="n">
        <f aca="false">ROUND(G46*H46,2)</f>
        <v>0</v>
      </c>
      <c r="L46" s="137" t="n">
        <v>0</v>
      </c>
      <c r="M46" s="137" t="n">
        <f aca="false">G46*L46</f>
        <v>0</v>
      </c>
      <c r="N46" s="138" t="s">
        <v>155</v>
      </c>
      <c r="Z46" s="88" t="n">
        <f aca="false">ROUND(IF(AQ46="5",BJ46,0),2)</f>
        <v>0</v>
      </c>
      <c r="AB46" s="88" t="n">
        <f aca="false">ROUND(IF(AQ46="1",BH46,0),2)</f>
        <v>0</v>
      </c>
      <c r="AC46" s="88" t="n">
        <f aca="false">ROUND(IF(AQ46="1",BI46,0),2)</f>
        <v>0</v>
      </c>
      <c r="AD46" s="88" t="n">
        <f aca="false">ROUND(IF(AQ46="7",BH46,0),2)</f>
        <v>0</v>
      </c>
      <c r="AE46" s="88" t="n">
        <f aca="false">ROUND(IF(AQ46="7",BI46,0),2)</f>
        <v>0</v>
      </c>
      <c r="AF46" s="88" t="n">
        <f aca="false">ROUND(IF(AQ46="2",BH46,0),2)</f>
        <v>0</v>
      </c>
      <c r="AG46" s="88" t="n">
        <f aca="false">ROUND(IF(AQ46="2",BI46,0),2)</f>
        <v>0</v>
      </c>
      <c r="AH46" s="88" t="n">
        <f aca="false">ROUND(IF(AQ46="0",BJ46,0),2)</f>
        <v>0</v>
      </c>
      <c r="AI46" s="116" t="s">
        <v>107</v>
      </c>
      <c r="AJ46" s="88" t="n">
        <f aca="false">IF(AN46=0,K46,0)</f>
        <v>0</v>
      </c>
      <c r="AK46" s="88" t="n">
        <f aca="false">IF(AN46=12,K46,0)</f>
        <v>0</v>
      </c>
      <c r="AL46" s="88" t="n">
        <f aca="false">IF(AN46=21,K46,0)</f>
        <v>0</v>
      </c>
      <c r="AN46" s="88" t="n">
        <v>21</v>
      </c>
      <c r="AO46" s="88" t="n">
        <f aca="false">H46*0</f>
        <v>0</v>
      </c>
      <c r="AP46" s="88" t="n">
        <f aca="false">H46*(1-0)</f>
        <v>0</v>
      </c>
      <c r="AQ46" s="87" t="s">
        <v>151</v>
      </c>
      <c r="AV46" s="88" t="n">
        <f aca="false">ROUND(AW46+AX46,2)</f>
        <v>0</v>
      </c>
      <c r="AW46" s="88" t="n">
        <f aca="false">ROUND(G46*AO46,2)</f>
        <v>0</v>
      </c>
      <c r="AX46" s="88" t="n">
        <f aca="false">ROUND(G46*AP46,2)</f>
        <v>0</v>
      </c>
      <c r="AY46" s="87" t="s">
        <v>238</v>
      </c>
      <c r="AZ46" s="87" t="s">
        <v>239</v>
      </c>
      <c r="BA46" s="116" t="s">
        <v>240</v>
      </c>
      <c r="BC46" s="88" t="n">
        <f aca="false">AW46+AX46</f>
        <v>0</v>
      </c>
      <c r="BD46" s="88" t="n">
        <f aca="false">H46/(100-BE46)*100</f>
        <v>0</v>
      </c>
      <c r="BE46" s="88" t="n">
        <v>0</v>
      </c>
      <c r="BF46" s="88" t="n">
        <f aca="false">M46</f>
        <v>0</v>
      </c>
      <c r="BH46" s="88" t="n">
        <f aca="false">G46*AO46</f>
        <v>0</v>
      </c>
      <c r="BI46" s="88" t="n">
        <f aca="false">G46*AP46</f>
        <v>0</v>
      </c>
      <c r="BJ46" s="88" t="n">
        <f aca="false">G46*H46</f>
        <v>0</v>
      </c>
      <c r="BK46" s="87" t="s">
        <v>159</v>
      </c>
      <c r="BL46" s="88" t="n">
        <v>13</v>
      </c>
      <c r="BW46" s="88" t="n">
        <v>21</v>
      </c>
      <c r="BX46" s="9" t="s">
        <v>258</v>
      </c>
    </row>
    <row r="47" customFormat="false" ht="15" hidden="false" customHeight="true" outlineLevel="0" collapsed="false">
      <c r="A47" s="134" t="s">
        <v>259</v>
      </c>
      <c r="B47" s="134" t="s">
        <v>107</v>
      </c>
      <c r="C47" s="134" t="s">
        <v>260</v>
      </c>
      <c r="D47" s="135" t="s">
        <v>261</v>
      </c>
      <c r="E47" s="135"/>
      <c r="F47" s="134" t="s">
        <v>189</v>
      </c>
      <c r="G47" s="136" t="n">
        <v>13.293</v>
      </c>
      <c r="H47" s="137"/>
      <c r="I47" s="137" t="n">
        <f aca="false">ROUND(G47*AO47,2)</f>
        <v>0</v>
      </c>
      <c r="J47" s="137" t="n">
        <f aca="false">ROUND(G47*AP47,2)</f>
        <v>0</v>
      </c>
      <c r="K47" s="137" t="n">
        <f aca="false">ROUND(G47*H47,2)</f>
        <v>0</v>
      </c>
      <c r="L47" s="137" t="n">
        <v>0</v>
      </c>
      <c r="M47" s="137" t="n">
        <f aca="false">G47*L47</f>
        <v>0</v>
      </c>
      <c r="N47" s="138" t="s">
        <v>155</v>
      </c>
      <c r="Z47" s="88" t="n">
        <f aca="false">ROUND(IF(AQ47="5",BJ47,0),2)</f>
        <v>0</v>
      </c>
      <c r="AB47" s="88" t="n">
        <f aca="false">ROUND(IF(AQ47="1",BH47,0),2)</f>
        <v>0</v>
      </c>
      <c r="AC47" s="88" t="n">
        <f aca="false">ROUND(IF(AQ47="1",BI47,0),2)</f>
        <v>0</v>
      </c>
      <c r="AD47" s="88" t="n">
        <f aca="false">ROUND(IF(AQ47="7",BH47,0),2)</f>
        <v>0</v>
      </c>
      <c r="AE47" s="88" t="n">
        <f aca="false">ROUND(IF(AQ47="7",BI47,0),2)</f>
        <v>0</v>
      </c>
      <c r="AF47" s="88" t="n">
        <f aca="false">ROUND(IF(AQ47="2",BH47,0),2)</f>
        <v>0</v>
      </c>
      <c r="AG47" s="88" t="n">
        <f aca="false">ROUND(IF(AQ47="2",BI47,0),2)</f>
        <v>0</v>
      </c>
      <c r="AH47" s="88" t="n">
        <f aca="false">ROUND(IF(AQ47="0",BJ47,0),2)</f>
        <v>0</v>
      </c>
      <c r="AI47" s="116" t="s">
        <v>107</v>
      </c>
      <c r="AJ47" s="88" t="n">
        <f aca="false">IF(AN47=0,K47,0)</f>
        <v>0</v>
      </c>
      <c r="AK47" s="88" t="n">
        <f aca="false">IF(AN47=12,K47,0)</f>
        <v>0</v>
      </c>
      <c r="AL47" s="88" t="n">
        <f aca="false">IF(AN47=21,K47,0)</f>
        <v>0</v>
      </c>
      <c r="AN47" s="88" t="n">
        <v>21</v>
      </c>
      <c r="AO47" s="88" t="n">
        <f aca="false">H47*0</f>
        <v>0</v>
      </c>
      <c r="AP47" s="88" t="n">
        <f aca="false">H47*(1-0)</f>
        <v>0</v>
      </c>
      <c r="AQ47" s="87" t="s">
        <v>151</v>
      </c>
      <c r="AV47" s="88" t="n">
        <f aca="false">ROUND(AW47+AX47,2)</f>
        <v>0</v>
      </c>
      <c r="AW47" s="88" t="n">
        <f aca="false">ROUND(G47*AO47,2)</f>
        <v>0</v>
      </c>
      <c r="AX47" s="88" t="n">
        <f aca="false">ROUND(G47*AP47,2)</f>
        <v>0</v>
      </c>
      <c r="AY47" s="87" t="s">
        <v>238</v>
      </c>
      <c r="AZ47" s="87" t="s">
        <v>239</v>
      </c>
      <c r="BA47" s="116" t="s">
        <v>240</v>
      </c>
      <c r="BC47" s="88" t="n">
        <f aca="false">AW47+AX47</f>
        <v>0</v>
      </c>
      <c r="BD47" s="88" t="n">
        <f aca="false">H47/(100-BE47)*100</f>
        <v>0</v>
      </c>
      <c r="BE47" s="88" t="n">
        <v>0</v>
      </c>
      <c r="BF47" s="88" t="n">
        <f aca="false">M47</f>
        <v>0</v>
      </c>
      <c r="BH47" s="88" t="n">
        <f aca="false">G47*AO47</f>
        <v>0</v>
      </c>
      <c r="BI47" s="88" t="n">
        <f aca="false">G47*AP47</f>
        <v>0</v>
      </c>
      <c r="BJ47" s="88" t="n">
        <f aca="false">G47*H47</f>
        <v>0</v>
      </c>
      <c r="BK47" s="87" t="s">
        <v>159</v>
      </c>
      <c r="BL47" s="88" t="n">
        <v>13</v>
      </c>
      <c r="BW47" s="88" t="n">
        <v>21</v>
      </c>
      <c r="BX47" s="9" t="s">
        <v>261</v>
      </c>
    </row>
    <row r="48" customFormat="false" ht="23.85" hidden="false" customHeight="true" outlineLevel="0" collapsed="false">
      <c r="A48" s="134" t="s">
        <v>262</v>
      </c>
      <c r="B48" s="134" t="s">
        <v>107</v>
      </c>
      <c r="C48" s="134" t="s">
        <v>263</v>
      </c>
      <c r="D48" s="135" t="s">
        <v>264</v>
      </c>
      <c r="E48" s="135"/>
      <c r="F48" s="134" t="s">
        <v>189</v>
      </c>
      <c r="G48" s="136" t="n">
        <v>0.98</v>
      </c>
      <c r="H48" s="137"/>
      <c r="I48" s="137" t="n">
        <f aca="false">ROUND(G48*AO48,2)</f>
        <v>0</v>
      </c>
      <c r="J48" s="137" t="n">
        <f aca="false">ROUND(G48*AP48,2)</f>
        <v>0</v>
      </c>
      <c r="K48" s="137" t="n">
        <f aca="false">ROUND(G48*H48,2)</f>
        <v>0</v>
      </c>
      <c r="L48" s="137" t="n">
        <v>0</v>
      </c>
      <c r="M48" s="137" t="n">
        <f aca="false">G48*L48</f>
        <v>0</v>
      </c>
      <c r="N48" s="138" t="s">
        <v>155</v>
      </c>
      <c r="Z48" s="88" t="n">
        <f aca="false">ROUND(IF(AQ48="5",BJ48,0),2)</f>
        <v>0</v>
      </c>
      <c r="AB48" s="88" t="n">
        <f aca="false">ROUND(IF(AQ48="1",BH48,0),2)</f>
        <v>0</v>
      </c>
      <c r="AC48" s="88" t="n">
        <f aca="false">ROUND(IF(AQ48="1",BI48,0),2)</f>
        <v>0</v>
      </c>
      <c r="AD48" s="88" t="n">
        <f aca="false">ROUND(IF(AQ48="7",BH48,0),2)</f>
        <v>0</v>
      </c>
      <c r="AE48" s="88" t="n">
        <f aca="false">ROUND(IF(AQ48="7",BI48,0),2)</f>
        <v>0</v>
      </c>
      <c r="AF48" s="88" t="n">
        <f aca="false">ROUND(IF(AQ48="2",BH48,0),2)</f>
        <v>0</v>
      </c>
      <c r="AG48" s="88" t="n">
        <f aca="false">ROUND(IF(AQ48="2",BI48,0),2)</f>
        <v>0</v>
      </c>
      <c r="AH48" s="88" t="n">
        <f aca="false">ROUND(IF(AQ48="0",BJ48,0),2)</f>
        <v>0</v>
      </c>
      <c r="AI48" s="116" t="s">
        <v>107</v>
      </c>
      <c r="AJ48" s="88" t="n">
        <f aca="false">IF(AN48=0,K48,0)</f>
        <v>0</v>
      </c>
      <c r="AK48" s="88" t="n">
        <f aca="false">IF(AN48=12,K48,0)</f>
        <v>0</v>
      </c>
      <c r="AL48" s="88" t="n">
        <f aca="false">IF(AN48=21,K48,0)</f>
        <v>0</v>
      </c>
      <c r="AN48" s="88" t="n">
        <v>21</v>
      </c>
      <c r="AO48" s="88" t="n">
        <f aca="false">H48*0</f>
        <v>0</v>
      </c>
      <c r="AP48" s="88" t="n">
        <f aca="false">H48*(1-0)</f>
        <v>0</v>
      </c>
      <c r="AQ48" s="87" t="s">
        <v>151</v>
      </c>
      <c r="AV48" s="88" t="n">
        <f aca="false">ROUND(AW48+AX48,2)</f>
        <v>0</v>
      </c>
      <c r="AW48" s="88" t="n">
        <f aca="false">ROUND(G48*AO48,2)</f>
        <v>0</v>
      </c>
      <c r="AX48" s="88" t="n">
        <f aca="false">ROUND(G48*AP48,2)</f>
        <v>0</v>
      </c>
      <c r="AY48" s="87" t="s">
        <v>238</v>
      </c>
      <c r="AZ48" s="87" t="s">
        <v>239</v>
      </c>
      <c r="BA48" s="116" t="s">
        <v>240</v>
      </c>
      <c r="BC48" s="88" t="n">
        <f aca="false">AW48+AX48</f>
        <v>0</v>
      </c>
      <c r="BD48" s="88" t="n">
        <f aca="false">H48/(100-BE48)*100</f>
        <v>0</v>
      </c>
      <c r="BE48" s="88" t="n">
        <v>0</v>
      </c>
      <c r="BF48" s="88" t="n">
        <f aca="false">M48</f>
        <v>0</v>
      </c>
      <c r="BH48" s="88" t="n">
        <f aca="false">G48*AO48</f>
        <v>0</v>
      </c>
      <c r="BI48" s="88" t="n">
        <f aca="false">G48*AP48</f>
        <v>0</v>
      </c>
      <c r="BJ48" s="88" t="n">
        <f aca="false">G48*H48</f>
        <v>0</v>
      </c>
      <c r="BK48" s="87" t="s">
        <v>159</v>
      </c>
      <c r="BL48" s="88" t="n">
        <v>13</v>
      </c>
      <c r="BW48" s="88" t="n">
        <v>21</v>
      </c>
      <c r="BX48" s="9" t="s">
        <v>264</v>
      </c>
    </row>
    <row r="49" customFormat="false" ht="15" hidden="false" customHeight="true" outlineLevel="0" collapsed="false">
      <c r="A49" s="134" t="s">
        <v>265</v>
      </c>
      <c r="B49" s="134" t="s">
        <v>107</v>
      </c>
      <c r="C49" s="134" t="s">
        <v>266</v>
      </c>
      <c r="D49" s="135" t="s">
        <v>267</v>
      </c>
      <c r="E49" s="135"/>
      <c r="F49" s="134" t="s">
        <v>189</v>
      </c>
      <c r="G49" s="136" t="n">
        <v>14.7</v>
      </c>
      <c r="H49" s="137"/>
      <c r="I49" s="137" t="n">
        <f aca="false">ROUND(G49*AO49,2)</f>
        <v>0</v>
      </c>
      <c r="J49" s="137" t="n">
        <f aca="false">ROUND(G49*AP49,2)</f>
        <v>0</v>
      </c>
      <c r="K49" s="137" t="n">
        <f aca="false">ROUND(G49*H49,2)</f>
        <v>0</v>
      </c>
      <c r="L49" s="137" t="n">
        <v>0</v>
      </c>
      <c r="M49" s="137" t="n">
        <f aca="false">G49*L49</f>
        <v>0</v>
      </c>
      <c r="N49" s="138" t="s">
        <v>155</v>
      </c>
      <c r="Z49" s="88" t="n">
        <f aca="false">ROUND(IF(AQ49="5",BJ49,0),2)</f>
        <v>0</v>
      </c>
      <c r="AB49" s="88" t="n">
        <f aca="false">ROUND(IF(AQ49="1",BH49,0),2)</f>
        <v>0</v>
      </c>
      <c r="AC49" s="88" t="n">
        <f aca="false">ROUND(IF(AQ49="1",BI49,0),2)</f>
        <v>0</v>
      </c>
      <c r="AD49" s="88" t="n">
        <f aca="false">ROUND(IF(AQ49="7",BH49,0),2)</f>
        <v>0</v>
      </c>
      <c r="AE49" s="88" t="n">
        <f aca="false">ROUND(IF(AQ49="7",BI49,0),2)</f>
        <v>0</v>
      </c>
      <c r="AF49" s="88" t="n">
        <f aca="false">ROUND(IF(AQ49="2",BH49,0),2)</f>
        <v>0</v>
      </c>
      <c r="AG49" s="88" t="n">
        <f aca="false">ROUND(IF(AQ49="2",BI49,0),2)</f>
        <v>0</v>
      </c>
      <c r="AH49" s="88" t="n">
        <f aca="false">ROUND(IF(AQ49="0",BJ49,0),2)</f>
        <v>0</v>
      </c>
      <c r="AI49" s="116" t="s">
        <v>107</v>
      </c>
      <c r="AJ49" s="88" t="n">
        <f aca="false">IF(AN49=0,K49,0)</f>
        <v>0</v>
      </c>
      <c r="AK49" s="88" t="n">
        <f aca="false">IF(AN49=12,K49,0)</f>
        <v>0</v>
      </c>
      <c r="AL49" s="88" t="n">
        <f aca="false">IF(AN49=21,K49,0)</f>
        <v>0</v>
      </c>
      <c r="AN49" s="88" t="n">
        <v>21</v>
      </c>
      <c r="AO49" s="88" t="n">
        <f aca="false">H49*0</f>
        <v>0</v>
      </c>
      <c r="AP49" s="88" t="n">
        <f aca="false">H49*(1-0)</f>
        <v>0</v>
      </c>
      <c r="AQ49" s="87" t="s">
        <v>151</v>
      </c>
      <c r="AV49" s="88" t="n">
        <f aca="false">ROUND(AW49+AX49,2)</f>
        <v>0</v>
      </c>
      <c r="AW49" s="88" t="n">
        <f aca="false">ROUND(G49*AO49,2)</f>
        <v>0</v>
      </c>
      <c r="AX49" s="88" t="n">
        <f aca="false">ROUND(G49*AP49,2)</f>
        <v>0</v>
      </c>
      <c r="AY49" s="87" t="s">
        <v>238</v>
      </c>
      <c r="AZ49" s="87" t="s">
        <v>239</v>
      </c>
      <c r="BA49" s="116" t="s">
        <v>240</v>
      </c>
      <c r="BC49" s="88" t="n">
        <f aca="false">AW49+AX49</f>
        <v>0</v>
      </c>
      <c r="BD49" s="88" t="n">
        <f aca="false">H49/(100-BE49)*100</f>
        <v>0</v>
      </c>
      <c r="BE49" s="88" t="n">
        <v>0</v>
      </c>
      <c r="BF49" s="88" t="n">
        <f aca="false">M49</f>
        <v>0</v>
      </c>
      <c r="BH49" s="88" t="n">
        <f aca="false">G49*AO49</f>
        <v>0</v>
      </c>
      <c r="BI49" s="88" t="n">
        <f aca="false">G49*AP49</f>
        <v>0</v>
      </c>
      <c r="BJ49" s="88" t="n">
        <f aca="false">G49*H49</f>
        <v>0</v>
      </c>
      <c r="BK49" s="87" t="s">
        <v>159</v>
      </c>
      <c r="BL49" s="88" t="n">
        <v>13</v>
      </c>
      <c r="BW49" s="88" t="n">
        <v>21</v>
      </c>
      <c r="BX49" s="9" t="s">
        <v>267</v>
      </c>
    </row>
    <row r="50" customFormat="false" ht="23.85" hidden="false" customHeight="true" outlineLevel="0" collapsed="false">
      <c r="A50" s="134" t="s">
        <v>268</v>
      </c>
      <c r="B50" s="134" t="s">
        <v>107</v>
      </c>
      <c r="C50" s="134" t="s">
        <v>263</v>
      </c>
      <c r="D50" s="135" t="s">
        <v>269</v>
      </c>
      <c r="E50" s="135"/>
      <c r="F50" s="134" t="s">
        <v>189</v>
      </c>
      <c r="G50" s="136" t="n">
        <v>12.313</v>
      </c>
      <c r="H50" s="137"/>
      <c r="I50" s="137" t="n">
        <f aca="false">ROUND(G50*AO50,2)</f>
        <v>0</v>
      </c>
      <c r="J50" s="137" t="n">
        <f aca="false">ROUND(G50*AP50,2)</f>
        <v>0</v>
      </c>
      <c r="K50" s="137" t="n">
        <f aca="false">ROUND(G50*H50,2)</f>
        <v>0</v>
      </c>
      <c r="L50" s="137" t="n">
        <v>0</v>
      </c>
      <c r="M50" s="137" t="n">
        <f aca="false">G50*L50</f>
        <v>0</v>
      </c>
      <c r="N50" s="138" t="s">
        <v>155</v>
      </c>
      <c r="Z50" s="88" t="n">
        <f aca="false">ROUND(IF(AQ50="5",BJ50,0),2)</f>
        <v>0</v>
      </c>
      <c r="AB50" s="88" t="n">
        <f aca="false">ROUND(IF(AQ50="1",BH50,0),2)</f>
        <v>0</v>
      </c>
      <c r="AC50" s="88" t="n">
        <f aca="false">ROUND(IF(AQ50="1",BI50,0),2)</f>
        <v>0</v>
      </c>
      <c r="AD50" s="88" t="n">
        <f aca="false">ROUND(IF(AQ50="7",BH50,0),2)</f>
        <v>0</v>
      </c>
      <c r="AE50" s="88" t="n">
        <f aca="false">ROUND(IF(AQ50="7",BI50,0),2)</f>
        <v>0</v>
      </c>
      <c r="AF50" s="88" t="n">
        <f aca="false">ROUND(IF(AQ50="2",BH50,0),2)</f>
        <v>0</v>
      </c>
      <c r="AG50" s="88" t="n">
        <f aca="false">ROUND(IF(AQ50="2",BI50,0),2)</f>
        <v>0</v>
      </c>
      <c r="AH50" s="88" t="n">
        <f aca="false">ROUND(IF(AQ50="0",BJ50,0),2)</f>
        <v>0</v>
      </c>
      <c r="AI50" s="116" t="s">
        <v>107</v>
      </c>
      <c r="AJ50" s="88" t="n">
        <f aca="false">IF(AN50=0,K50,0)</f>
        <v>0</v>
      </c>
      <c r="AK50" s="88" t="n">
        <f aca="false">IF(AN50=12,K50,0)</f>
        <v>0</v>
      </c>
      <c r="AL50" s="88" t="n">
        <f aca="false">IF(AN50=21,K50,0)</f>
        <v>0</v>
      </c>
      <c r="AN50" s="88" t="n">
        <v>21</v>
      </c>
      <c r="AO50" s="88" t="n">
        <f aca="false">H50*0</f>
        <v>0</v>
      </c>
      <c r="AP50" s="88" t="n">
        <f aca="false">H50*(1-0)</f>
        <v>0</v>
      </c>
      <c r="AQ50" s="87" t="s">
        <v>151</v>
      </c>
      <c r="AV50" s="88" t="n">
        <f aca="false">ROUND(AW50+AX50,2)</f>
        <v>0</v>
      </c>
      <c r="AW50" s="88" t="n">
        <f aca="false">ROUND(G50*AO50,2)</f>
        <v>0</v>
      </c>
      <c r="AX50" s="88" t="n">
        <f aca="false">ROUND(G50*AP50,2)</f>
        <v>0</v>
      </c>
      <c r="AY50" s="87" t="s">
        <v>238</v>
      </c>
      <c r="AZ50" s="87" t="s">
        <v>239</v>
      </c>
      <c r="BA50" s="116" t="s">
        <v>240</v>
      </c>
      <c r="BC50" s="88" t="n">
        <f aca="false">AW50+AX50</f>
        <v>0</v>
      </c>
      <c r="BD50" s="88" t="n">
        <f aca="false">H50/(100-BE50)*100</f>
        <v>0</v>
      </c>
      <c r="BE50" s="88" t="n">
        <v>0</v>
      </c>
      <c r="BF50" s="88" t="n">
        <f aca="false">M50</f>
        <v>0</v>
      </c>
      <c r="BH50" s="88" t="n">
        <f aca="false">G50*AO50</f>
        <v>0</v>
      </c>
      <c r="BI50" s="88" t="n">
        <f aca="false">G50*AP50</f>
        <v>0</v>
      </c>
      <c r="BJ50" s="88" t="n">
        <f aca="false">G50*H50</f>
        <v>0</v>
      </c>
      <c r="BK50" s="87" t="s">
        <v>159</v>
      </c>
      <c r="BL50" s="88" t="n">
        <v>13</v>
      </c>
      <c r="BW50" s="88" t="n">
        <v>21</v>
      </c>
      <c r="BX50" s="9" t="s">
        <v>269</v>
      </c>
    </row>
    <row r="51" customFormat="false" ht="15" hidden="false" customHeight="true" outlineLevel="0" collapsed="false">
      <c r="A51" s="134" t="s">
        <v>270</v>
      </c>
      <c r="B51" s="134" t="s">
        <v>107</v>
      </c>
      <c r="C51" s="134" t="s">
        <v>266</v>
      </c>
      <c r="D51" s="135" t="s">
        <v>267</v>
      </c>
      <c r="E51" s="135"/>
      <c r="F51" s="134" t="s">
        <v>189</v>
      </c>
      <c r="G51" s="136" t="n">
        <v>184.695</v>
      </c>
      <c r="H51" s="137"/>
      <c r="I51" s="137" t="n">
        <f aca="false">ROUND(G51*AO51,2)</f>
        <v>0</v>
      </c>
      <c r="J51" s="137" t="n">
        <f aca="false">ROUND(G51*AP51,2)</f>
        <v>0</v>
      </c>
      <c r="K51" s="137" t="n">
        <f aca="false">ROUND(G51*H51,2)</f>
        <v>0</v>
      </c>
      <c r="L51" s="137" t="n">
        <v>0</v>
      </c>
      <c r="M51" s="137" t="n">
        <f aca="false">G51*L51</f>
        <v>0</v>
      </c>
      <c r="N51" s="138" t="s">
        <v>155</v>
      </c>
      <c r="Z51" s="88" t="n">
        <f aca="false">ROUND(IF(AQ51="5",BJ51,0),2)</f>
        <v>0</v>
      </c>
      <c r="AB51" s="88" t="n">
        <f aca="false">ROUND(IF(AQ51="1",BH51,0),2)</f>
        <v>0</v>
      </c>
      <c r="AC51" s="88" t="n">
        <f aca="false">ROUND(IF(AQ51="1",BI51,0),2)</f>
        <v>0</v>
      </c>
      <c r="AD51" s="88" t="n">
        <f aca="false">ROUND(IF(AQ51="7",BH51,0),2)</f>
        <v>0</v>
      </c>
      <c r="AE51" s="88" t="n">
        <f aca="false">ROUND(IF(AQ51="7",BI51,0),2)</f>
        <v>0</v>
      </c>
      <c r="AF51" s="88" t="n">
        <f aca="false">ROUND(IF(AQ51="2",BH51,0),2)</f>
        <v>0</v>
      </c>
      <c r="AG51" s="88" t="n">
        <f aca="false">ROUND(IF(AQ51="2",BI51,0),2)</f>
        <v>0</v>
      </c>
      <c r="AH51" s="88" t="n">
        <f aca="false">ROUND(IF(AQ51="0",BJ51,0),2)</f>
        <v>0</v>
      </c>
      <c r="AI51" s="116" t="s">
        <v>107</v>
      </c>
      <c r="AJ51" s="88" t="n">
        <f aca="false">IF(AN51=0,K51,0)</f>
        <v>0</v>
      </c>
      <c r="AK51" s="88" t="n">
        <f aca="false">IF(AN51=12,K51,0)</f>
        <v>0</v>
      </c>
      <c r="AL51" s="88" t="n">
        <f aca="false">IF(AN51=21,K51,0)</f>
        <v>0</v>
      </c>
      <c r="AN51" s="88" t="n">
        <v>21</v>
      </c>
      <c r="AO51" s="88" t="n">
        <f aca="false">H51*0</f>
        <v>0</v>
      </c>
      <c r="AP51" s="88" t="n">
        <f aca="false">H51*(1-0)</f>
        <v>0</v>
      </c>
      <c r="AQ51" s="87" t="s">
        <v>151</v>
      </c>
      <c r="AV51" s="88" t="n">
        <f aca="false">ROUND(AW51+AX51,2)</f>
        <v>0</v>
      </c>
      <c r="AW51" s="88" t="n">
        <f aca="false">ROUND(G51*AO51,2)</f>
        <v>0</v>
      </c>
      <c r="AX51" s="88" t="n">
        <f aca="false">ROUND(G51*AP51,2)</f>
        <v>0</v>
      </c>
      <c r="AY51" s="87" t="s">
        <v>238</v>
      </c>
      <c r="AZ51" s="87" t="s">
        <v>239</v>
      </c>
      <c r="BA51" s="116" t="s">
        <v>240</v>
      </c>
      <c r="BC51" s="88" t="n">
        <f aca="false">AW51+AX51</f>
        <v>0</v>
      </c>
      <c r="BD51" s="88" t="n">
        <f aca="false">H51/(100-BE51)*100</f>
        <v>0</v>
      </c>
      <c r="BE51" s="88" t="n">
        <v>0</v>
      </c>
      <c r="BF51" s="88" t="n">
        <f aca="false">M51</f>
        <v>0</v>
      </c>
      <c r="BH51" s="88" t="n">
        <f aca="false">G51*AO51</f>
        <v>0</v>
      </c>
      <c r="BI51" s="88" t="n">
        <f aca="false">G51*AP51</f>
        <v>0</v>
      </c>
      <c r="BJ51" s="88" t="n">
        <f aca="false">G51*H51</f>
        <v>0</v>
      </c>
      <c r="BK51" s="87" t="s">
        <v>159</v>
      </c>
      <c r="BL51" s="88" t="n">
        <v>13</v>
      </c>
      <c r="BW51" s="88" t="n">
        <v>21</v>
      </c>
      <c r="BX51" s="9" t="s">
        <v>267</v>
      </c>
    </row>
    <row r="52" customFormat="false" ht="23.85" hidden="false" customHeight="true" outlineLevel="0" collapsed="false">
      <c r="A52" s="134" t="s">
        <v>271</v>
      </c>
      <c r="B52" s="134" t="s">
        <v>107</v>
      </c>
      <c r="C52" s="134" t="s">
        <v>272</v>
      </c>
      <c r="D52" s="135" t="s">
        <v>273</v>
      </c>
      <c r="E52" s="135"/>
      <c r="F52" s="134" t="s">
        <v>189</v>
      </c>
      <c r="G52" s="136" t="n">
        <v>12.313</v>
      </c>
      <c r="H52" s="137"/>
      <c r="I52" s="137" t="n">
        <f aca="false">ROUND(G52*AO52,2)</f>
        <v>0</v>
      </c>
      <c r="J52" s="137" t="n">
        <f aca="false">ROUND(G52*AP52,2)</f>
        <v>0</v>
      </c>
      <c r="K52" s="137" t="n">
        <f aca="false">ROUND(G52*H52,2)</f>
        <v>0</v>
      </c>
      <c r="L52" s="137" t="n">
        <v>0</v>
      </c>
      <c r="M52" s="137" t="n">
        <f aca="false">G52*L52</f>
        <v>0</v>
      </c>
      <c r="N52" s="138" t="s">
        <v>155</v>
      </c>
      <c r="Z52" s="88" t="n">
        <f aca="false">ROUND(IF(AQ52="5",BJ52,0),2)</f>
        <v>0</v>
      </c>
      <c r="AB52" s="88" t="n">
        <f aca="false">ROUND(IF(AQ52="1",BH52,0),2)</f>
        <v>0</v>
      </c>
      <c r="AC52" s="88" t="n">
        <f aca="false">ROUND(IF(AQ52="1",BI52,0),2)</f>
        <v>0</v>
      </c>
      <c r="AD52" s="88" t="n">
        <f aca="false">ROUND(IF(AQ52="7",BH52,0),2)</f>
        <v>0</v>
      </c>
      <c r="AE52" s="88" t="n">
        <f aca="false">ROUND(IF(AQ52="7",BI52,0),2)</f>
        <v>0</v>
      </c>
      <c r="AF52" s="88" t="n">
        <f aca="false">ROUND(IF(AQ52="2",BH52,0),2)</f>
        <v>0</v>
      </c>
      <c r="AG52" s="88" t="n">
        <f aca="false">ROUND(IF(AQ52="2",BI52,0),2)</f>
        <v>0</v>
      </c>
      <c r="AH52" s="88" t="n">
        <f aca="false">ROUND(IF(AQ52="0",BJ52,0),2)</f>
        <v>0</v>
      </c>
      <c r="AI52" s="116" t="s">
        <v>107</v>
      </c>
      <c r="AJ52" s="88" t="n">
        <f aca="false">IF(AN52=0,K52,0)</f>
        <v>0</v>
      </c>
      <c r="AK52" s="88" t="n">
        <f aca="false">IF(AN52=12,K52,0)</f>
        <v>0</v>
      </c>
      <c r="AL52" s="88" t="n">
        <f aca="false">IF(AN52=21,K52,0)</f>
        <v>0</v>
      </c>
      <c r="AN52" s="88" t="n">
        <v>21</v>
      </c>
      <c r="AO52" s="88" t="n">
        <f aca="false">H52*0</f>
        <v>0</v>
      </c>
      <c r="AP52" s="88" t="n">
        <f aca="false">H52*(1-0)</f>
        <v>0</v>
      </c>
      <c r="AQ52" s="87" t="s">
        <v>151</v>
      </c>
      <c r="AV52" s="88" t="n">
        <f aca="false">ROUND(AW52+AX52,2)</f>
        <v>0</v>
      </c>
      <c r="AW52" s="88" t="n">
        <f aca="false">ROUND(G52*AO52,2)</f>
        <v>0</v>
      </c>
      <c r="AX52" s="88" t="n">
        <f aca="false">ROUND(G52*AP52,2)</f>
        <v>0</v>
      </c>
      <c r="AY52" s="87" t="s">
        <v>238</v>
      </c>
      <c r="AZ52" s="87" t="s">
        <v>239</v>
      </c>
      <c r="BA52" s="116" t="s">
        <v>240</v>
      </c>
      <c r="BC52" s="88" t="n">
        <f aca="false">AW52+AX52</f>
        <v>0</v>
      </c>
      <c r="BD52" s="88" t="n">
        <f aca="false">H52/(100-BE52)*100</f>
        <v>0</v>
      </c>
      <c r="BE52" s="88" t="n">
        <v>0</v>
      </c>
      <c r="BF52" s="88" t="n">
        <f aca="false">M52</f>
        <v>0</v>
      </c>
      <c r="BH52" s="88" t="n">
        <f aca="false">G52*AO52</f>
        <v>0</v>
      </c>
      <c r="BI52" s="88" t="n">
        <f aca="false">G52*AP52</f>
        <v>0</v>
      </c>
      <c r="BJ52" s="88" t="n">
        <f aca="false">G52*H52</f>
        <v>0</v>
      </c>
      <c r="BK52" s="87" t="s">
        <v>159</v>
      </c>
      <c r="BL52" s="88" t="n">
        <v>13</v>
      </c>
      <c r="BW52" s="88" t="n">
        <v>21</v>
      </c>
      <c r="BX52" s="9" t="s">
        <v>273</v>
      </c>
    </row>
    <row r="53" customFormat="false" ht="23.85" hidden="false" customHeight="true" outlineLevel="0" collapsed="false">
      <c r="A53" s="128"/>
      <c r="B53" s="129" t="s">
        <v>107</v>
      </c>
      <c r="C53" s="129" t="s">
        <v>274</v>
      </c>
      <c r="D53" s="130" t="s">
        <v>275</v>
      </c>
      <c r="E53" s="130"/>
      <c r="F53" s="128" t="s">
        <v>97</v>
      </c>
      <c r="G53" s="131" t="s">
        <v>97</v>
      </c>
      <c r="H53" s="128"/>
      <c r="I53" s="132" t="n">
        <f aca="false">ROUND(SUM(I54:I67),2)</f>
        <v>0</v>
      </c>
      <c r="J53" s="132" t="n">
        <f aca="false">ROUND(SUM(J54:J67),2)</f>
        <v>0</v>
      </c>
      <c r="K53" s="132" t="n">
        <f aca="false">ROUND(SUM(K54:K67),2)</f>
        <v>0</v>
      </c>
      <c r="L53" s="133"/>
      <c r="M53" s="132" t="n">
        <f aca="false">SUM(M54:M67)</f>
        <v>35.206983</v>
      </c>
      <c r="N53" s="133"/>
      <c r="AI53" s="116" t="s">
        <v>107</v>
      </c>
      <c r="AS53" s="107" t="n">
        <f aca="false">SUM(AJ54:AJ67)</f>
        <v>0</v>
      </c>
      <c r="AT53" s="107" t="n">
        <f aca="false">SUM(AK54:AK67)</f>
        <v>0</v>
      </c>
      <c r="AU53" s="107" t="n">
        <f aca="false">SUM(AL54:AL67)</f>
        <v>0</v>
      </c>
    </row>
    <row r="54" customFormat="false" ht="23.85" hidden="false" customHeight="true" outlineLevel="0" collapsed="false">
      <c r="A54" s="134" t="s">
        <v>276</v>
      </c>
      <c r="B54" s="134" t="s">
        <v>107</v>
      </c>
      <c r="C54" s="134" t="s">
        <v>277</v>
      </c>
      <c r="D54" s="135" t="s">
        <v>278</v>
      </c>
      <c r="E54" s="135"/>
      <c r="F54" s="134" t="s">
        <v>169</v>
      </c>
      <c r="G54" s="136" t="n">
        <v>6.7</v>
      </c>
      <c r="H54" s="137"/>
      <c r="I54" s="137" t="n">
        <f aca="false">ROUND(G54*AO54,2)</f>
        <v>0</v>
      </c>
      <c r="J54" s="137" t="n">
        <f aca="false">ROUND(G54*AP54,2)</f>
        <v>0</v>
      </c>
      <c r="K54" s="137" t="n">
        <f aca="false">ROUND(G54*H54,2)</f>
        <v>0</v>
      </c>
      <c r="L54" s="137" t="n">
        <v>0</v>
      </c>
      <c r="M54" s="137" t="n">
        <f aca="false">G54*L54</f>
        <v>0</v>
      </c>
      <c r="N54" s="138" t="s">
        <v>155</v>
      </c>
      <c r="Z54" s="88" t="n">
        <f aca="false">ROUND(IF(AQ54="5",BJ54,0),2)</f>
        <v>0</v>
      </c>
      <c r="AB54" s="88" t="n">
        <f aca="false">ROUND(IF(AQ54="1",BH54,0),2)</f>
        <v>0</v>
      </c>
      <c r="AC54" s="88" t="n">
        <f aca="false">ROUND(IF(AQ54="1",BI54,0),2)</f>
        <v>0</v>
      </c>
      <c r="AD54" s="88" t="n">
        <f aca="false">ROUND(IF(AQ54="7",BH54,0),2)</f>
        <v>0</v>
      </c>
      <c r="AE54" s="88" t="n">
        <f aca="false">ROUND(IF(AQ54="7",BI54,0),2)</f>
        <v>0</v>
      </c>
      <c r="AF54" s="88" t="n">
        <f aca="false">ROUND(IF(AQ54="2",BH54,0),2)</f>
        <v>0</v>
      </c>
      <c r="AG54" s="88" t="n">
        <f aca="false">ROUND(IF(AQ54="2",BI54,0),2)</f>
        <v>0</v>
      </c>
      <c r="AH54" s="88" t="n">
        <f aca="false">ROUND(IF(AQ54="0",BJ54,0),2)</f>
        <v>0</v>
      </c>
      <c r="AI54" s="116" t="s">
        <v>107</v>
      </c>
      <c r="AJ54" s="88" t="n">
        <f aca="false">IF(AN54=0,K54,0)</f>
        <v>0</v>
      </c>
      <c r="AK54" s="88" t="n">
        <f aca="false">IF(AN54=12,K54,0)</f>
        <v>0</v>
      </c>
      <c r="AL54" s="88" t="n">
        <f aca="false">IF(AN54=21,K54,0)</f>
        <v>0</v>
      </c>
      <c r="AN54" s="88" t="n">
        <v>21</v>
      </c>
      <c r="AO54" s="88" t="n">
        <f aca="false">H54*0</f>
        <v>0</v>
      </c>
      <c r="AP54" s="88" t="n">
        <f aca="false">H54*(1-0)</f>
        <v>0</v>
      </c>
      <c r="AQ54" s="87" t="s">
        <v>151</v>
      </c>
      <c r="AV54" s="88" t="n">
        <f aca="false">ROUND(AW54+AX54,2)</f>
        <v>0</v>
      </c>
      <c r="AW54" s="88" t="n">
        <f aca="false">ROUND(G54*AO54,2)</f>
        <v>0</v>
      </c>
      <c r="AX54" s="88" t="n">
        <f aca="false">ROUND(G54*AP54,2)</f>
        <v>0</v>
      </c>
      <c r="AY54" s="87" t="s">
        <v>279</v>
      </c>
      <c r="AZ54" s="87" t="s">
        <v>280</v>
      </c>
      <c r="BA54" s="116" t="s">
        <v>240</v>
      </c>
      <c r="BC54" s="88" t="n">
        <f aca="false">AW54+AX54</f>
        <v>0</v>
      </c>
      <c r="BD54" s="88" t="n">
        <f aca="false">H54/(100-BE54)*100</f>
        <v>0</v>
      </c>
      <c r="BE54" s="88" t="n">
        <v>0</v>
      </c>
      <c r="BF54" s="88" t="n">
        <f aca="false">M54</f>
        <v>0</v>
      </c>
      <c r="BH54" s="88" t="n">
        <f aca="false">G54*AO54</f>
        <v>0</v>
      </c>
      <c r="BI54" s="88" t="n">
        <f aca="false">G54*AP54</f>
        <v>0</v>
      </c>
      <c r="BJ54" s="88" t="n">
        <f aca="false">G54*H54</f>
        <v>0</v>
      </c>
      <c r="BK54" s="87" t="s">
        <v>159</v>
      </c>
      <c r="BL54" s="88" t="n">
        <v>59</v>
      </c>
      <c r="BW54" s="88" t="n">
        <v>21</v>
      </c>
      <c r="BX54" s="9" t="s">
        <v>278</v>
      </c>
    </row>
    <row r="55" customFormat="false" ht="15" hidden="false" customHeight="true" outlineLevel="0" collapsed="false">
      <c r="A55" s="134" t="s">
        <v>281</v>
      </c>
      <c r="B55" s="134" t="s">
        <v>107</v>
      </c>
      <c r="C55" s="134" t="s">
        <v>282</v>
      </c>
      <c r="D55" s="135" t="s">
        <v>283</v>
      </c>
      <c r="E55" s="135"/>
      <c r="F55" s="134" t="s">
        <v>169</v>
      </c>
      <c r="G55" s="136" t="n">
        <v>6.7</v>
      </c>
      <c r="H55" s="137"/>
      <c r="I55" s="137" t="n">
        <f aca="false">ROUND(G55*AO55,2)</f>
        <v>0</v>
      </c>
      <c r="J55" s="137" t="n">
        <f aca="false">ROUND(G55*AP55,2)</f>
        <v>0</v>
      </c>
      <c r="K55" s="137" t="n">
        <f aca="false">ROUND(G55*H55,2)</f>
        <v>0</v>
      </c>
      <c r="L55" s="137" t="n">
        <v>0.0739</v>
      </c>
      <c r="M55" s="137" t="n">
        <f aca="false">G55*L55</f>
        <v>0.49513</v>
      </c>
      <c r="N55" s="138" t="s">
        <v>155</v>
      </c>
      <c r="Z55" s="88" t="n">
        <f aca="false">ROUND(IF(AQ55="5",BJ55,0),2)</f>
        <v>0</v>
      </c>
      <c r="AB55" s="88" t="n">
        <f aca="false">ROUND(IF(AQ55="1",BH55,0),2)</f>
        <v>0</v>
      </c>
      <c r="AC55" s="88" t="n">
        <f aca="false">ROUND(IF(AQ55="1",BI55,0),2)</f>
        <v>0</v>
      </c>
      <c r="AD55" s="88" t="n">
        <f aca="false">ROUND(IF(AQ55="7",BH55,0),2)</f>
        <v>0</v>
      </c>
      <c r="AE55" s="88" t="n">
        <f aca="false">ROUND(IF(AQ55="7",BI55,0),2)</f>
        <v>0</v>
      </c>
      <c r="AF55" s="88" t="n">
        <f aca="false">ROUND(IF(AQ55="2",BH55,0),2)</f>
        <v>0</v>
      </c>
      <c r="AG55" s="88" t="n">
        <f aca="false">ROUND(IF(AQ55="2",BI55,0),2)</f>
        <v>0</v>
      </c>
      <c r="AH55" s="88" t="n">
        <f aca="false">ROUND(IF(AQ55="0",BJ55,0),2)</f>
        <v>0</v>
      </c>
      <c r="AI55" s="116" t="s">
        <v>107</v>
      </c>
      <c r="AJ55" s="88" t="n">
        <f aca="false">IF(AN55=0,K55,0)</f>
        <v>0</v>
      </c>
      <c r="AK55" s="88" t="n">
        <f aca="false">IF(AN55=12,K55,0)</f>
        <v>0</v>
      </c>
      <c r="AL55" s="88" t="n">
        <f aca="false">IF(AN55=21,K55,0)</f>
        <v>0</v>
      </c>
      <c r="AN55" s="88" t="n">
        <v>21</v>
      </c>
      <c r="AO55" s="88" t="n">
        <f aca="false">H55*0.156479075</f>
        <v>0</v>
      </c>
      <c r="AP55" s="88" t="n">
        <f aca="false">H55*(1-0.156479075)</f>
        <v>0</v>
      </c>
      <c r="AQ55" s="87" t="s">
        <v>151</v>
      </c>
      <c r="AV55" s="88" t="n">
        <f aca="false">ROUND(AW55+AX55,2)</f>
        <v>0</v>
      </c>
      <c r="AW55" s="88" t="n">
        <f aca="false">ROUND(G55*AO55,2)</f>
        <v>0</v>
      </c>
      <c r="AX55" s="88" t="n">
        <f aca="false">ROUND(G55*AP55,2)</f>
        <v>0</v>
      </c>
      <c r="AY55" s="87" t="s">
        <v>279</v>
      </c>
      <c r="AZ55" s="87" t="s">
        <v>280</v>
      </c>
      <c r="BA55" s="116" t="s">
        <v>240</v>
      </c>
      <c r="BC55" s="88" t="n">
        <f aca="false">AW55+AX55</f>
        <v>0</v>
      </c>
      <c r="BD55" s="88" t="n">
        <f aca="false">H55/(100-BE55)*100</f>
        <v>0</v>
      </c>
      <c r="BE55" s="88" t="n">
        <v>0</v>
      </c>
      <c r="BF55" s="88" t="n">
        <f aca="false">M55</f>
        <v>0.49513</v>
      </c>
      <c r="BH55" s="88" t="n">
        <f aca="false">G55*AO55</f>
        <v>0</v>
      </c>
      <c r="BI55" s="88" t="n">
        <f aca="false">G55*AP55</f>
        <v>0</v>
      </c>
      <c r="BJ55" s="88" t="n">
        <f aca="false">G55*H55</f>
        <v>0</v>
      </c>
      <c r="BK55" s="87" t="s">
        <v>159</v>
      </c>
      <c r="BL55" s="88" t="n">
        <v>59</v>
      </c>
      <c r="BW55" s="88" t="n">
        <v>21</v>
      </c>
      <c r="BX55" s="9" t="s">
        <v>283</v>
      </c>
    </row>
    <row r="56" customFormat="false" ht="35.5" hidden="false" customHeight="true" outlineLevel="0" collapsed="false">
      <c r="A56" s="139" t="s">
        <v>284</v>
      </c>
      <c r="B56" s="139" t="s">
        <v>107</v>
      </c>
      <c r="C56" s="139" t="s">
        <v>285</v>
      </c>
      <c r="D56" s="140" t="s">
        <v>286</v>
      </c>
      <c r="E56" s="140"/>
      <c r="F56" s="139" t="s">
        <v>169</v>
      </c>
      <c r="G56" s="141" t="n">
        <v>6.767</v>
      </c>
      <c r="H56" s="142"/>
      <c r="I56" s="142" t="n">
        <f aca="false">ROUND(G56*AO56,2)</f>
        <v>0</v>
      </c>
      <c r="J56" s="142" t="n">
        <f aca="false">ROUND(G56*AP56,2)</f>
        <v>0</v>
      </c>
      <c r="K56" s="142" t="n">
        <f aca="false">ROUND(G56*H56,2)</f>
        <v>0</v>
      </c>
      <c r="L56" s="142" t="n">
        <v>0.131</v>
      </c>
      <c r="M56" s="142" t="n">
        <f aca="false">G56*L56</f>
        <v>0.886477</v>
      </c>
      <c r="N56" s="143" t="s">
        <v>155</v>
      </c>
      <c r="Z56" s="88" t="n">
        <f aca="false">ROUND(IF(AQ56="5",BJ56,0),2)</f>
        <v>0</v>
      </c>
      <c r="AB56" s="88" t="n">
        <f aca="false">ROUND(IF(AQ56="1",BH56,0),2)</f>
        <v>0</v>
      </c>
      <c r="AC56" s="88" t="n">
        <f aca="false">ROUND(IF(AQ56="1",BI56,0),2)</f>
        <v>0</v>
      </c>
      <c r="AD56" s="88" t="n">
        <f aca="false">ROUND(IF(AQ56="7",BH56,0),2)</f>
        <v>0</v>
      </c>
      <c r="AE56" s="88" t="n">
        <f aca="false">ROUND(IF(AQ56="7",BI56,0),2)</f>
        <v>0</v>
      </c>
      <c r="AF56" s="88" t="n">
        <f aca="false">ROUND(IF(AQ56="2",BH56,0),2)</f>
        <v>0</v>
      </c>
      <c r="AG56" s="88" t="n">
        <f aca="false">ROUND(IF(AQ56="2",BI56,0),2)</f>
        <v>0</v>
      </c>
      <c r="AH56" s="88" t="n">
        <f aca="false">ROUND(IF(AQ56="0",BJ56,0),2)</f>
        <v>0</v>
      </c>
      <c r="AI56" s="116" t="s">
        <v>107</v>
      </c>
      <c r="AJ56" s="144" t="n">
        <f aca="false">IF(AN56=0,K56,0)</f>
        <v>0</v>
      </c>
      <c r="AK56" s="144" t="n">
        <f aca="false">IF(AN56=12,K56,0)</f>
        <v>0</v>
      </c>
      <c r="AL56" s="144" t="n">
        <f aca="false">IF(AN56=21,K56,0)</f>
        <v>0</v>
      </c>
      <c r="AN56" s="88" t="n">
        <v>21</v>
      </c>
      <c r="AO56" s="88" t="n">
        <f aca="false">H56*1</f>
        <v>0</v>
      </c>
      <c r="AP56" s="88" t="n">
        <f aca="false">H56*(1-1)</f>
        <v>0</v>
      </c>
      <c r="AQ56" s="145" t="s">
        <v>151</v>
      </c>
      <c r="AV56" s="88" t="n">
        <f aca="false">ROUND(AW56+AX56,2)</f>
        <v>0</v>
      </c>
      <c r="AW56" s="88" t="n">
        <f aca="false">ROUND(G56*AO56,2)</f>
        <v>0</v>
      </c>
      <c r="AX56" s="88" t="n">
        <f aca="false">ROUND(G56*AP56,2)</f>
        <v>0</v>
      </c>
      <c r="AY56" s="87" t="s">
        <v>279</v>
      </c>
      <c r="AZ56" s="87" t="s">
        <v>280</v>
      </c>
      <c r="BA56" s="116" t="s">
        <v>240</v>
      </c>
      <c r="BC56" s="88" t="n">
        <f aca="false">AW56+AX56</f>
        <v>0</v>
      </c>
      <c r="BD56" s="88" t="n">
        <f aca="false">H56/(100-BE56)*100</f>
        <v>0</v>
      </c>
      <c r="BE56" s="88" t="n">
        <v>0</v>
      </c>
      <c r="BF56" s="88" t="n">
        <f aca="false">M56</f>
        <v>0.886477</v>
      </c>
      <c r="BH56" s="144" t="n">
        <f aca="false">G56*AO56</f>
        <v>0</v>
      </c>
      <c r="BI56" s="144" t="n">
        <f aca="false">G56*AP56</f>
        <v>0</v>
      </c>
      <c r="BJ56" s="144" t="n">
        <f aca="false">G56*H56</f>
        <v>0</v>
      </c>
      <c r="BK56" s="145" t="s">
        <v>180</v>
      </c>
      <c r="BL56" s="88" t="n">
        <v>59</v>
      </c>
      <c r="BW56" s="88" t="n">
        <v>21</v>
      </c>
      <c r="BX56" s="146" t="s">
        <v>286</v>
      </c>
    </row>
    <row r="57" customFormat="false" ht="23.85" hidden="false" customHeight="true" outlineLevel="0" collapsed="false">
      <c r="A57" s="134" t="s">
        <v>287</v>
      </c>
      <c r="B57" s="134" t="s">
        <v>107</v>
      </c>
      <c r="C57" s="134" t="s">
        <v>288</v>
      </c>
      <c r="D57" s="135" t="s">
        <v>289</v>
      </c>
      <c r="E57" s="135"/>
      <c r="F57" s="134" t="s">
        <v>169</v>
      </c>
      <c r="G57" s="136" t="n">
        <v>6.7</v>
      </c>
      <c r="H57" s="137"/>
      <c r="I57" s="137" t="n">
        <f aca="false">ROUND(G57*AO57,2)</f>
        <v>0</v>
      </c>
      <c r="J57" s="137" t="n">
        <f aca="false">ROUND(G57*AP57,2)</f>
        <v>0</v>
      </c>
      <c r="K57" s="137" t="n">
        <f aca="false">ROUND(G57*H57,2)</f>
        <v>0</v>
      </c>
      <c r="L57" s="137" t="n">
        <v>0.46</v>
      </c>
      <c r="M57" s="137" t="n">
        <f aca="false">G57*L57</f>
        <v>3.082</v>
      </c>
      <c r="N57" s="138" t="s">
        <v>155</v>
      </c>
      <c r="Z57" s="88" t="n">
        <f aca="false">ROUND(IF(AQ57="5",BJ57,0),2)</f>
        <v>0</v>
      </c>
      <c r="AB57" s="88" t="n">
        <f aca="false">ROUND(IF(AQ57="1",BH57,0),2)</f>
        <v>0</v>
      </c>
      <c r="AC57" s="88" t="n">
        <f aca="false">ROUND(IF(AQ57="1",BI57,0),2)</f>
        <v>0</v>
      </c>
      <c r="AD57" s="88" t="n">
        <f aca="false">ROUND(IF(AQ57="7",BH57,0),2)</f>
        <v>0</v>
      </c>
      <c r="AE57" s="88" t="n">
        <f aca="false">ROUND(IF(AQ57="7",BI57,0),2)</f>
        <v>0</v>
      </c>
      <c r="AF57" s="88" t="n">
        <f aca="false">ROUND(IF(AQ57="2",BH57,0),2)</f>
        <v>0</v>
      </c>
      <c r="AG57" s="88" t="n">
        <f aca="false">ROUND(IF(AQ57="2",BI57,0),2)</f>
        <v>0</v>
      </c>
      <c r="AH57" s="88" t="n">
        <f aca="false">ROUND(IF(AQ57="0",BJ57,0),2)</f>
        <v>0</v>
      </c>
      <c r="AI57" s="116" t="s">
        <v>107</v>
      </c>
      <c r="AJ57" s="88" t="n">
        <f aca="false">IF(AN57=0,K57,0)</f>
        <v>0</v>
      </c>
      <c r="AK57" s="88" t="n">
        <f aca="false">IF(AN57=12,K57,0)</f>
        <v>0</v>
      </c>
      <c r="AL57" s="88" t="n">
        <f aca="false">IF(AN57=21,K57,0)</f>
        <v>0</v>
      </c>
      <c r="AN57" s="88" t="n">
        <v>21</v>
      </c>
      <c r="AO57" s="88" t="n">
        <f aca="false">H57*0.832941848</f>
        <v>0</v>
      </c>
      <c r="AP57" s="88" t="n">
        <f aca="false">H57*(1-0.832941848)</f>
        <v>0</v>
      </c>
      <c r="AQ57" s="87" t="s">
        <v>151</v>
      </c>
      <c r="AV57" s="88" t="n">
        <f aca="false">ROUND(AW57+AX57,2)</f>
        <v>0</v>
      </c>
      <c r="AW57" s="88" t="n">
        <f aca="false">ROUND(G57*AO57,2)</f>
        <v>0</v>
      </c>
      <c r="AX57" s="88" t="n">
        <f aca="false">ROUND(G57*AP57,2)</f>
        <v>0</v>
      </c>
      <c r="AY57" s="87" t="s">
        <v>279</v>
      </c>
      <c r="AZ57" s="87" t="s">
        <v>280</v>
      </c>
      <c r="BA57" s="116" t="s">
        <v>240</v>
      </c>
      <c r="BC57" s="88" t="n">
        <f aca="false">AW57+AX57</f>
        <v>0</v>
      </c>
      <c r="BD57" s="88" t="n">
        <f aca="false">H57/(100-BE57)*100</f>
        <v>0</v>
      </c>
      <c r="BE57" s="88" t="n">
        <v>0</v>
      </c>
      <c r="BF57" s="88" t="n">
        <f aca="false">M57</f>
        <v>3.082</v>
      </c>
      <c r="BH57" s="88" t="n">
        <f aca="false">G57*AO57</f>
        <v>0</v>
      </c>
      <c r="BI57" s="88" t="n">
        <f aca="false">G57*AP57</f>
        <v>0</v>
      </c>
      <c r="BJ57" s="88" t="n">
        <f aca="false">G57*H57</f>
        <v>0</v>
      </c>
      <c r="BK57" s="87" t="s">
        <v>159</v>
      </c>
      <c r="BL57" s="88" t="n">
        <v>59</v>
      </c>
      <c r="BW57" s="88" t="n">
        <v>21</v>
      </c>
      <c r="BX57" s="9" t="s">
        <v>289</v>
      </c>
    </row>
    <row r="58" customFormat="false" ht="15" hidden="false" customHeight="true" outlineLevel="0" collapsed="false">
      <c r="A58" s="134" t="s">
        <v>290</v>
      </c>
      <c r="B58" s="134" t="s">
        <v>107</v>
      </c>
      <c r="C58" s="134" t="s">
        <v>291</v>
      </c>
      <c r="D58" s="135" t="s">
        <v>292</v>
      </c>
      <c r="E58" s="135"/>
      <c r="F58" s="134" t="s">
        <v>154</v>
      </c>
      <c r="G58" s="136" t="n">
        <v>5.8</v>
      </c>
      <c r="H58" s="137"/>
      <c r="I58" s="137" t="n">
        <f aca="false">ROUND(G58*AO58,2)</f>
        <v>0</v>
      </c>
      <c r="J58" s="137" t="n">
        <f aca="false">ROUND(G58*AP58,2)</f>
        <v>0</v>
      </c>
      <c r="K58" s="137" t="n">
        <f aca="false">ROUND(G58*H58,2)</f>
        <v>0</v>
      </c>
      <c r="L58" s="137" t="n">
        <v>0.00033</v>
      </c>
      <c r="M58" s="137" t="n">
        <f aca="false">G58*L58</f>
        <v>0.001914</v>
      </c>
      <c r="N58" s="138" t="s">
        <v>155</v>
      </c>
      <c r="Z58" s="88" t="n">
        <f aca="false">ROUND(IF(AQ58="5",BJ58,0),2)</f>
        <v>0</v>
      </c>
      <c r="AB58" s="88" t="n">
        <f aca="false">ROUND(IF(AQ58="1",BH58,0),2)</f>
        <v>0</v>
      </c>
      <c r="AC58" s="88" t="n">
        <f aca="false">ROUND(IF(AQ58="1",BI58,0),2)</f>
        <v>0</v>
      </c>
      <c r="AD58" s="88" t="n">
        <f aca="false">ROUND(IF(AQ58="7",BH58,0),2)</f>
        <v>0</v>
      </c>
      <c r="AE58" s="88" t="n">
        <f aca="false">ROUND(IF(AQ58="7",BI58,0),2)</f>
        <v>0</v>
      </c>
      <c r="AF58" s="88" t="n">
        <f aca="false">ROUND(IF(AQ58="2",BH58,0),2)</f>
        <v>0</v>
      </c>
      <c r="AG58" s="88" t="n">
        <f aca="false">ROUND(IF(AQ58="2",BI58,0),2)</f>
        <v>0</v>
      </c>
      <c r="AH58" s="88" t="n">
        <f aca="false">ROUND(IF(AQ58="0",BJ58,0),2)</f>
        <v>0</v>
      </c>
      <c r="AI58" s="116" t="s">
        <v>107</v>
      </c>
      <c r="AJ58" s="88" t="n">
        <f aca="false">IF(AN58=0,K58,0)</f>
        <v>0</v>
      </c>
      <c r="AK58" s="88" t="n">
        <f aca="false">IF(AN58=12,K58,0)</f>
        <v>0</v>
      </c>
      <c r="AL58" s="88" t="n">
        <f aca="false">IF(AN58=21,K58,0)</f>
        <v>0</v>
      </c>
      <c r="AN58" s="88" t="n">
        <v>21</v>
      </c>
      <c r="AO58" s="88" t="n">
        <f aca="false">H58*0.038563746</f>
        <v>0</v>
      </c>
      <c r="AP58" s="88" t="n">
        <f aca="false">H58*(1-0.038563746)</f>
        <v>0</v>
      </c>
      <c r="AQ58" s="87" t="s">
        <v>151</v>
      </c>
      <c r="AV58" s="88" t="n">
        <f aca="false">ROUND(AW58+AX58,2)</f>
        <v>0</v>
      </c>
      <c r="AW58" s="88" t="n">
        <f aca="false">ROUND(G58*AO58,2)</f>
        <v>0</v>
      </c>
      <c r="AX58" s="88" t="n">
        <f aca="false">ROUND(G58*AP58,2)</f>
        <v>0</v>
      </c>
      <c r="AY58" s="87" t="s">
        <v>279</v>
      </c>
      <c r="AZ58" s="87" t="s">
        <v>280</v>
      </c>
      <c r="BA58" s="116" t="s">
        <v>240</v>
      </c>
      <c r="BC58" s="88" t="n">
        <f aca="false">AW58+AX58</f>
        <v>0</v>
      </c>
      <c r="BD58" s="88" t="n">
        <f aca="false">H58/(100-BE58)*100</f>
        <v>0</v>
      </c>
      <c r="BE58" s="88" t="n">
        <v>0</v>
      </c>
      <c r="BF58" s="88" t="n">
        <f aca="false">M58</f>
        <v>0.001914</v>
      </c>
      <c r="BH58" s="88" t="n">
        <f aca="false">G58*AO58</f>
        <v>0</v>
      </c>
      <c r="BI58" s="88" t="n">
        <f aca="false">G58*AP58</f>
        <v>0</v>
      </c>
      <c r="BJ58" s="88" t="n">
        <f aca="false">G58*H58</f>
        <v>0</v>
      </c>
      <c r="BK58" s="87" t="s">
        <v>159</v>
      </c>
      <c r="BL58" s="88" t="n">
        <v>59</v>
      </c>
      <c r="BW58" s="88" t="n">
        <v>21</v>
      </c>
      <c r="BX58" s="9" t="s">
        <v>292</v>
      </c>
    </row>
    <row r="59" customFormat="false" ht="35.05" hidden="false" customHeight="true" outlineLevel="0" collapsed="false">
      <c r="A59" s="134" t="s">
        <v>293</v>
      </c>
      <c r="B59" s="134" t="s">
        <v>107</v>
      </c>
      <c r="C59" s="134" t="s">
        <v>294</v>
      </c>
      <c r="D59" s="135" t="s">
        <v>295</v>
      </c>
      <c r="E59" s="135"/>
      <c r="F59" s="134" t="s">
        <v>189</v>
      </c>
      <c r="G59" s="136" t="n">
        <v>1.928</v>
      </c>
      <c r="H59" s="137"/>
      <c r="I59" s="137" t="n">
        <f aca="false">ROUND(G59*AO59,2)</f>
        <v>0</v>
      </c>
      <c r="J59" s="137" t="n">
        <f aca="false">ROUND(G59*AP59,2)</f>
        <v>0</v>
      </c>
      <c r="K59" s="137" t="n">
        <f aca="false">ROUND(G59*H59,2)</f>
        <v>0</v>
      </c>
      <c r="L59" s="137" t="n">
        <v>1.665</v>
      </c>
      <c r="M59" s="137" t="n">
        <f aca="false">G59*L59</f>
        <v>3.21012</v>
      </c>
      <c r="N59" s="138" t="s">
        <v>155</v>
      </c>
      <c r="Z59" s="88" t="n">
        <f aca="false">ROUND(IF(AQ59="5",BJ59,0),2)</f>
        <v>0</v>
      </c>
      <c r="AB59" s="88" t="n">
        <f aca="false">ROUND(IF(AQ59="1",BH59,0),2)</f>
        <v>0</v>
      </c>
      <c r="AC59" s="88" t="n">
        <f aca="false">ROUND(IF(AQ59="1",BI59,0),2)</f>
        <v>0</v>
      </c>
      <c r="AD59" s="88" t="n">
        <f aca="false">ROUND(IF(AQ59="7",BH59,0),2)</f>
        <v>0</v>
      </c>
      <c r="AE59" s="88" t="n">
        <f aca="false">ROUND(IF(AQ59="7",BI59,0),2)</f>
        <v>0</v>
      </c>
      <c r="AF59" s="88" t="n">
        <f aca="false">ROUND(IF(AQ59="2",BH59,0),2)</f>
        <v>0</v>
      </c>
      <c r="AG59" s="88" t="n">
        <f aca="false">ROUND(IF(AQ59="2",BI59,0),2)</f>
        <v>0</v>
      </c>
      <c r="AH59" s="88" t="n">
        <f aca="false">ROUND(IF(AQ59="0",BJ59,0),2)</f>
        <v>0</v>
      </c>
      <c r="AI59" s="116" t="s">
        <v>107</v>
      </c>
      <c r="AJ59" s="88" t="n">
        <f aca="false">IF(AN59=0,K59,0)</f>
        <v>0</v>
      </c>
      <c r="AK59" s="88" t="n">
        <f aca="false">IF(AN59=12,K59,0)</f>
        <v>0</v>
      </c>
      <c r="AL59" s="88" t="n">
        <f aca="false">IF(AN59=21,K59,0)</f>
        <v>0</v>
      </c>
      <c r="AN59" s="88" t="n">
        <v>21</v>
      </c>
      <c r="AO59" s="88" t="n">
        <f aca="false">H59*0.721306953</f>
        <v>0</v>
      </c>
      <c r="AP59" s="88" t="n">
        <f aca="false">H59*(1-0.721306953)</f>
        <v>0</v>
      </c>
      <c r="AQ59" s="87" t="s">
        <v>151</v>
      </c>
      <c r="AV59" s="88" t="n">
        <f aca="false">ROUND(AW59+AX59,2)</f>
        <v>0</v>
      </c>
      <c r="AW59" s="88" t="n">
        <f aca="false">ROUND(G59*AO59,2)</f>
        <v>0</v>
      </c>
      <c r="AX59" s="88" t="n">
        <f aca="false">ROUND(G59*AP59,2)</f>
        <v>0</v>
      </c>
      <c r="AY59" s="87" t="s">
        <v>279</v>
      </c>
      <c r="AZ59" s="87" t="s">
        <v>280</v>
      </c>
      <c r="BA59" s="116" t="s">
        <v>240</v>
      </c>
      <c r="BC59" s="88" t="n">
        <f aca="false">AW59+AX59</f>
        <v>0</v>
      </c>
      <c r="BD59" s="88" t="n">
        <f aca="false">H59/(100-BE59)*100</f>
        <v>0</v>
      </c>
      <c r="BE59" s="88" t="n">
        <v>0</v>
      </c>
      <c r="BF59" s="88" t="n">
        <f aca="false">M59</f>
        <v>3.21012</v>
      </c>
      <c r="BH59" s="88" t="n">
        <f aca="false">G59*AO59</f>
        <v>0</v>
      </c>
      <c r="BI59" s="88" t="n">
        <f aca="false">G59*AP59</f>
        <v>0</v>
      </c>
      <c r="BJ59" s="88" t="n">
        <f aca="false">G59*H59</f>
        <v>0</v>
      </c>
      <c r="BK59" s="87" t="s">
        <v>159</v>
      </c>
      <c r="BL59" s="88" t="n">
        <v>59</v>
      </c>
      <c r="BW59" s="88" t="n">
        <v>21</v>
      </c>
      <c r="BX59" s="9" t="s">
        <v>295</v>
      </c>
    </row>
    <row r="60" customFormat="false" ht="23.85" hidden="false" customHeight="true" outlineLevel="0" collapsed="false">
      <c r="A60" s="134" t="s">
        <v>296</v>
      </c>
      <c r="B60" s="134" t="s">
        <v>107</v>
      </c>
      <c r="C60" s="134" t="s">
        <v>297</v>
      </c>
      <c r="D60" s="135" t="s">
        <v>298</v>
      </c>
      <c r="E60" s="135"/>
      <c r="F60" s="134" t="s">
        <v>169</v>
      </c>
      <c r="G60" s="136" t="n">
        <v>70.1</v>
      </c>
      <c r="H60" s="137"/>
      <c r="I60" s="137" t="n">
        <f aca="false">ROUND(G60*AO60,2)</f>
        <v>0</v>
      </c>
      <c r="J60" s="137" t="n">
        <f aca="false">ROUND(G60*AP60,2)</f>
        <v>0</v>
      </c>
      <c r="K60" s="137" t="n">
        <f aca="false">ROUND(G60*H60,2)</f>
        <v>0</v>
      </c>
      <c r="L60" s="137" t="n">
        <v>0.11</v>
      </c>
      <c r="M60" s="137" t="n">
        <f aca="false">G60*L60</f>
        <v>7.711</v>
      </c>
      <c r="N60" s="138" t="s">
        <v>155</v>
      </c>
      <c r="Z60" s="88" t="n">
        <f aca="false">ROUND(IF(AQ60="5",BJ60,0),2)</f>
        <v>0</v>
      </c>
      <c r="AB60" s="88" t="n">
        <f aca="false">ROUND(IF(AQ60="1",BH60,0),2)</f>
        <v>0</v>
      </c>
      <c r="AC60" s="88" t="n">
        <f aca="false">ROUND(IF(AQ60="1",BI60,0),2)</f>
        <v>0</v>
      </c>
      <c r="AD60" s="88" t="n">
        <f aca="false">ROUND(IF(AQ60="7",BH60,0),2)</f>
        <v>0</v>
      </c>
      <c r="AE60" s="88" t="n">
        <f aca="false">ROUND(IF(AQ60="7",BI60,0),2)</f>
        <v>0</v>
      </c>
      <c r="AF60" s="88" t="n">
        <f aca="false">ROUND(IF(AQ60="2",BH60,0),2)</f>
        <v>0</v>
      </c>
      <c r="AG60" s="88" t="n">
        <f aca="false">ROUND(IF(AQ60="2",BI60,0),2)</f>
        <v>0</v>
      </c>
      <c r="AH60" s="88" t="n">
        <f aca="false">ROUND(IF(AQ60="0",BJ60,0),2)</f>
        <v>0</v>
      </c>
      <c r="AI60" s="116" t="s">
        <v>107</v>
      </c>
      <c r="AJ60" s="88" t="n">
        <f aca="false">IF(AN60=0,K60,0)</f>
        <v>0</v>
      </c>
      <c r="AK60" s="88" t="n">
        <f aca="false">IF(AN60=12,K60,0)</f>
        <v>0</v>
      </c>
      <c r="AL60" s="88" t="n">
        <f aca="false">IF(AN60=21,K60,0)</f>
        <v>0</v>
      </c>
      <c r="AN60" s="88" t="n">
        <v>21</v>
      </c>
      <c r="AO60" s="88" t="n">
        <f aca="false">H60*0.100568462</f>
        <v>0</v>
      </c>
      <c r="AP60" s="88" t="n">
        <f aca="false">H60*(1-0.100568462)</f>
        <v>0</v>
      </c>
      <c r="AQ60" s="87" t="s">
        <v>151</v>
      </c>
      <c r="AV60" s="88" t="n">
        <f aca="false">ROUND(AW60+AX60,2)</f>
        <v>0</v>
      </c>
      <c r="AW60" s="88" t="n">
        <f aca="false">ROUND(G60*AO60,2)</f>
        <v>0</v>
      </c>
      <c r="AX60" s="88" t="n">
        <f aca="false">ROUND(G60*AP60,2)</f>
        <v>0</v>
      </c>
      <c r="AY60" s="87" t="s">
        <v>279</v>
      </c>
      <c r="AZ60" s="87" t="s">
        <v>280</v>
      </c>
      <c r="BA60" s="116" t="s">
        <v>240</v>
      </c>
      <c r="BC60" s="88" t="n">
        <f aca="false">AW60+AX60</f>
        <v>0</v>
      </c>
      <c r="BD60" s="88" t="n">
        <f aca="false">H60/(100-BE60)*100</f>
        <v>0</v>
      </c>
      <c r="BE60" s="88" t="n">
        <v>0</v>
      </c>
      <c r="BF60" s="88" t="n">
        <f aca="false">M60</f>
        <v>7.711</v>
      </c>
      <c r="BH60" s="88" t="n">
        <f aca="false">G60*AO60</f>
        <v>0</v>
      </c>
      <c r="BI60" s="88" t="n">
        <f aca="false">G60*AP60</f>
        <v>0</v>
      </c>
      <c r="BJ60" s="88" t="n">
        <f aca="false">G60*H60</f>
        <v>0</v>
      </c>
      <c r="BK60" s="87" t="s">
        <v>159</v>
      </c>
      <c r="BL60" s="88" t="n">
        <v>59</v>
      </c>
      <c r="BW60" s="88" t="n">
        <v>21</v>
      </c>
      <c r="BX60" s="9" t="s">
        <v>298</v>
      </c>
    </row>
    <row r="61" customFormat="false" ht="15" hidden="false" customHeight="true" outlineLevel="0" collapsed="false">
      <c r="A61" s="139" t="s">
        <v>299</v>
      </c>
      <c r="B61" s="139" t="s">
        <v>107</v>
      </c>
      <c r="C61" s="139" t="s">
        <v>300</v>
      </c>
      <c r="D61" s="140" t="s">
        <v>301</v>
      </c>
      <c r="E61" s="140"/>
      <c r="F61" s="139" t="s">
        <v>169</v>
      </c>
      <c r="G61" s="141" t="n">
        <v>71.502</v>
      </c>
      <c r="H61" s="142"/>
      <c r="I61" s="142" t="n">
        <f aca="false">ROUND(G61*AO61,2)</f>
        <v>0</v>
      </c>
      <c r="J61" s="142" t="n">
        <f aca="false">ROUND(G61*AP61,2)</f>
        <v>0</v>
      </c>
      <c r="K61" s="142" t="n">
        <f aca="false">ROUND(G61*H61,2)</f>
        <v>0</v>
      </c>
      <c r="L61" s="142" t="n">
        <v>0.12</v>
      </c>
      <c r="M61" s="142" t="n">
        <f aca="false">G61*L61</f>
        <v>8.58024</v>
      </c>
      <c r="N61" s="143" t="s">
        <v>155</v>
      </c>
      <c r="Z61" s="88" t="n">
        <f aca="false">ROUND(IF(AQ61="5",BJ61,0),2)</f>
        <v>0</v>
      </c>
      <c r="AB61" s="88" t="n">
        <f aca="false">ROUND(IF(AQ61="1",BH61,0),2)</f>
        <v>0</v>
      </c>
      <c r="AC61" s="88" t="n">
        <f aca="false">ROUND(IF(AQ61="1",BI61,0),2)</f>
        <v>0</v>
      </c>
      <c r="AD61" s="88" t="n">
        <f aca="false">ROUND(IF(AQ61="7",BH61,0),2)</f>
        <v>0</v>
      </c>
      <c r="AE61" s="88" t="n">
        <f aca="false">ROUND(IF(AQ61="7",BI61,0),2)</f>
        <v>0</v>
      </c>
      <c r="AF61" s="88" t="n">
        <f aca="false">ROUND(IF(AQ61="2",BH61,0),2)</f>
        <v>0</v>
      </c>
      <c r="AG61" s="88" t="n">
        <f aca="false">ROUND(IF(AQ61="2",BI61,0),2)</f>
        <v>0</v>
      </c>
      <c r="AH61" s="88" t="n">
        <f aca="false">ROUND(IF(AQ61="0",BJ61,0),2)</f>
        <v>0</v>
      </c>
      <c r="AI61" s="116" t="s">
        <v>107</v>
      </c>
      <c r="AJ61" s="144" t="n">
        <f aca="false">IF(AN61=0,K61,0)</f>
        <v>0</v>
      </c>
      <c r="AK61" s="144" t="n">
        <f aca="false">IF(AN61=12,K61,0)</f>
        <v>0</v>
      </c>
      <c r="AL61" s="144" t="n">
        <f aca="false">IF(AN61=21,K61,0)</f>
        <v>0</v>
      </c>
      <c r="AN61" s="88" t="n">
        <v>21</v>
      </c>
      <c r="AO61" s="88" t="n">
        <f aca="false">H61*1</f>
        <v>0</v>
      </c>
      <c r="AP61" s="88" t="n">
        <f aca="false">H61*(1-1)</f>
        <v>0</v>
      </c>
      <c r="AQ61" s="145" t="s">
        <v>151</v>
      </c>
      <c r="AV61" s="88" t="n">
        <f aca="false">ROUND(AW61+AX61,2)</f>
        <v>0</v>
      </c>
      <c r="AW61" s="88" t="n">
        <f aca="false">ROUND(G61*AO61,2)</f>
        <v>0</v>
      </c>
      <c r="AX61" s="88" t="n">
        <f aca="false">ROUND(G61*AP61,2)</f>
        <v>0</v>
      </c>
      <c r="AY61" s="87" t="s">
        <v>279</v>
      </c>
      <c r="AZ61" s="87" t="s">
        <v>280</v>
      </c>
      <c r="BA61" s="116" t="s">
        <v>240</v>
      </c>
      <c r="BC61" s="88" t="n">
        <f aca="false">AW61+AX61</f>
        <v>0</v>
      </c>
      <c r="BD61" s="88" t="n">
        <f aca="false">H61/(100-BE61)*100</f>
        <v>0</v>
      </c>
      <c r="BE61" s="88" t="n">
        <v>0</v>
      </c>
      <c r="BF61" s="88" t="n">
        <f aca="false">M61</f>
        <v>8.58024</v>
      </c>
      <c r="BH61" s="144" t="n">
        <f aca="false">G61*AO61</f>
        <v>0</v>
      </c>
      <c r="BI61" s="144" t="n">
        <f aca="false">G61*AP61</f>
        <v>0</v>
      </c>
      <c r="BJ61" s="144" t="n">
        <f aca="false">G61*H61</f>
        <v>0</v>
      </c>
      <c r="BK61" s="145" t="s">
        <v>180</v>
      </c>
      <c r="BL61" s="88" t="n">
        <v>59</v>
      </c>
      <c r="BW61" s="88" t="n">
        <v>21</v>
      </c>
      <c r="BX61" s="146" t="s">
        <v>301</v>
      </c>
    </row>
    <row r="62" customFormat="false" ht="15" hidden="false" customHeight="true" outlineLevel="0" collapsed="false">
      <c r="A62" s="134" t="s">
        <v>302</v>
      </c>
      <c r="B62" s="134" t="s">
        <v>107</v>
      </c>
      <c r="C62" s="134" t="s">
        <v>303</v>
      </c>
      <c r="D62" s="135" t="s">
        <v>304</v>
      </c>
      <c r="E62" s="135"/>
      <c r="F62" s="134" t="s">
        <v>154</v>
      </c>
      <c r="G62" s="136" t="n">
        <v>45.7</v>
      </c>
      <c r="H62" s="137"/>
      <c r="I62" s="137" t="n">
        <f aca="false">ROUND(G62*AO62,2)</f>
        <v>0</v>
      </c>
      <c r="J62" s="137" t="n">
        <f aca="false">ROUND(G62*AP62,2)</f>
        <v>0</v>
      </c>
      <c r="K62" s="137" t="n">
        <f aca="false">ROUND(G62*H62,2)</f>
        <v>0</v>
      </c>
      <c r="L62" s="137" t="n">
        <v>0.00036</v>
      </c>
      <c r="M62" s="137" t="n">
        <f aca="false">G62*L62</f>
        <v>0.016452</v>
      </c>
      <c r="N62" s="138" t="s">
        <v>155</v>
      </c>
      <c r="Z62" s="88" t="n">
        <f aca="false">ROUND(IF(AQ62="5",BJ62,0),2)</f>
        <v>0</v>
      </c>
      <c r="AB62" s="88" t="n">
        <f aca="false">ROUND(IF(AQ62="1",BH62,0),2)</f>
        <v>0</v>
      </c>
      <c r="AC62" s="88" t="n">
        <f aca="false">ROUND(IF(AQ62="1",BI62,0),2)</f>
        <v>0</v>
      </c>
      <c r="AD62" s="88" t="n">
        <f aca="false">ROUND(IF(AQ62="7",BH62,0),2)</f>
        <v>0</v>
      </c>
      <c r="AE62" s="88" t="n">
        <f aca="false">ROUND(IF(AQ62="7",BI62,0),2)</f>
        <v>0</v>
      </c>
      <c r="AF62" s="88" t="n">
        <f aca="false">ROUND(IF(AQ62="2",BH62,0),2)</f>
        <v>0</v>
      </c>
      <c r="AG62" s="88" t="n">
        <f aca="false">ROUND(IF(AQ62="2",BI62,0),2)</f>
        <v>0</v>
      </c>
      <c r="AH62" s="88" t="n">
        <f aca="false">ROUND(IF(AQ62="0",BJ62,0),2)</f>
        <v>0</v>
      </c>
      <c r="AI62" s="116" t="s">
        <v>107</v>
      </c>
      <c r="AJ62" s="88" t="n">
        <f aca="false">IF(AN62=0,K62,0)</f>
        <v>0</v>
      </c>
      <c r="AK62" s="88" t="n">
        <f aca="false">IF(AN62=12,K62,0)</f>
        <v>0</v>
      </c>
      <c r="AL62" s="88" t="n">
        <f aca="false">IF(AN62=21,K62,0)</f>
        <v>0</v>
      </c>
      <c r="AN62" s="88" t="n">
        <v>21</v>
      </c>
      <c r="AO62" s="88" t="n">
        <f aca="false">H62*0.040030007</f>
        <v>0</v>
      </c>
      <c r="AP62" s="88" t="n">
        <f aca="false">H62*(1-0.040030007)</f>
        <v>0</v>
      </c>
      <c r="AQ62" s="87" t="s">
        <v>151</v>
      </c>
      <c r="AV62" s="88" t="n">
        <f aca="false">ROUND(AW62+AX62,2)</f>
        <v>0</v>
      </c>
      <c r="AW62" s="88" t="n">
        <f aca="false">ROUND(G62*AO62,2)</f>
        <v>0</v>
      </c>
      <c r="AX62" s="88" t="n">
        <f aca="false">ROUND(G62*AP62,2)</f>
        <v>0</v>
      </c>
      <c r="AY62" s="87" t="s">
        <v>279</v>
      </c>
      <c r="AZ62" s="87" t="s">
        <v>280</v>
      </c>
      <c r="BA62" s="116" t="s">
        <v>240</v>
      </c>
      <c r="BC62" s="88" t="n">
        <f aca="false">AW62+AX62</f>
        <v>0</v>
      </c>
      <c r="BD62" s="88" t="n">
        <f aca="false">H62/(100-BE62)*100</f>
        <v>0</v>
      </c>
      <c r="BE62" s="88" t="n">
        <v>0</v>
      </c>
      <c r="BF62" s="88" t="n">
        <f aca="false">M62</f>
        <v>0.016452</v>
      </c>
      <c r="BH62" s="88" t="n">
        <f aca="false">G62*AO62</f>
        <v>0</v>
      </c>
      <c r="BI62" s="88" t="n">
        <f aca="false">G62*AP62</f>
        <v>0</v>
      </c>
      <c r="BJ62" s="88" t="n">
        <f aca="false">G62*H62</f>
        <v>0</v>
      </c>
      <c r="BK62" s="87" t="s">
        <v>159</v>
      </c>
      <c r="BL62" s="88" t="n">
        <v>59</v>
      </c>
      <c r="BW62" s="88" t="n">
        <v>21</v>
      </c>
      <c r="BX62" s="9" t="s">
        <v>304</v>
      </c>
    </row>
    <row r="63" customFormat="false" ht="15" hidden="false" customHeight="true" outlineLevel="0" collapsed="false">
      <c r="A63" s="134" t="s">
        <v>305</v>
      </c>
      <c r="B63" s="134" t="s">
        <v>107</v>
      </c>
      <c r="C63" s="134" t="s">
        <v>306</v>
      </c>
      <c r="D63" s="135" t="s">
        <v>307</v>
      </c>
      <c r="E63" s="135"/>
      <c r="F63" s="134" t="s">
        <v>202</v>
      </c>
      <c r="G63" s="136" t="n">
        <v>1</v>
      </c>
      <c r="H63" s="137"/>
      <c r="I63" s="137" t="n">
        <f aca="false">ROUND(G63*AO63,2)</f>
        <v>0</v>
      </c>
      <c r="J63" s="137" t="n">
        <f aca="false">ROUND(G63*AP63,2)</f>
        <v>0</v>
      </c>
      <c r="K63" s="137" t="n">
        <f aca="false">ROUND(G63*H63,2)</f>
        <v>0</v>
      </c>
      <c r="L63" s="137" t="n">
        <v>0.00713</v>
      </c>
      <c r="M63" s="137" t="n">
        <f aca="false">G63*L63</f>
        <v>0.00713</v>
      </c>
      <c r="N63" s="138" t="s">
        <v>155</v>
      </c>
      <c r="Z63" s="88" t="n">
        <f aca="false">ROUND(IF(AQ63="5",BJ63,0),2)</f>
        <v>0</v>
      </c>
      <c r="AB63" s="88" t="n">
        <f aca="false">ROUND(IF(AQ63="1",BH63,0),2)</f>
        <v>0</v>
      </c>
      <c r="AC63" s="88" t="n">
        <f aca="false">ROUND(IF(AQ63="1",BI63,0),2)</f>
        <v>0</v>
      </c>
      <c r="AD63" s="88" t="n">
        <f aca="false">ROUND(IF(AQ63="7",BH63,0),2)</f>
        <v>0</v>
      </c>
      <c r="AE63" s="88" t="n">
        <f aca="false">ROUND(IF(AQ63="7",BI63,0),2)</f>
        <v>0</v>
      </c>
      <c r="AF63" s="88" t="n">
        <f aca="false">ROUND(IF(AQ63="2",BH63,0),2)</f>
        <v>0</v>
      </c>
      <c r="AG63" s="88" t="n">
        <f aca="false">ROUND(IF(AQ63="2",BI63,0),2)</f>
        <v>0</v>
      </c>
      <c r="AH63" s="88" t="n">
        <f aca="false">ROUND(IF(AQ63="0",BJ63,0),2)</f>
        <v>0</v>
      </c>
      <c r="AI63" s="116" t="s">
        <v>107</v>
      </c>
      <c r="AJ63" s="88" t="n">
        <f aca="false">IF(AN63=0,K63,0)</f>
        <v>0</v>
      </c>
      <c r="AK63" s="88" t="n">
        <f aca="false">IF(AN63=12,K63,0)</f>
        <v>0</v>
      </c>
      <c r="AL63" s="88" t="n">
        <f aca="false">IF(AN63=21,K63,0)</f>
        <v>0</v>
      </c>
      <c r="AN63" s="88" t="n">
        <v>21</v>
      </c>
      <c r="AO63" s="88" t="n">
        <f aca="false">H63*0.011471204</f>
        <v>0</v>
      </c>
      <c r="AP63" s="88" t="n">
        <f aca="false">H63*(1-0.011471204)</f>
        <v>0</v>
      </c>
      <c r="AQ63" s="87" t="s">
        <v>151</v>
      </c>
      <c r="AV63" s="88" t="n">
        <f aca="false">ROUND(AW63+AX63,2)</f>
        <v>0</v>
      </c>
      <c r="AW63" s="88" t="n">
        <f aca="false">ROUND(G63*AO63,2)</f>
        <v>0</v>
      </c>
      <c r="AX63" s="88" t="n">
        <f aca="false">ROUND(G63*AP63,2)</f>
        <v>0</v>
      </c>
      <c r="AY63" s="87" t="s">
        <v>279</v>
      </c>
      <c r="AZ63" s="87" t="s">
        <v>280</v>
      </c>
      <c r="BA63" s="116" t="s">
        <v>240</v>
      </c>
      <c r="BC63" s="88" t="n">
        <f aca="false">AW63+AX63</f>
        <v>0</v>
      </c>
      <c r="BD63" s="88" t="n">
        <f aca="false">H63/(100-BE63)*100</f>
        <v>0</v>
      </c>
      <c r="BE63" s="88" t="n">
        <v>0</v>
      </c>
      <c r="BF63" s="88" t="n">
        <f aca="false">M63</f>
        <v>0.00713</v>
      </c>
      <c r="BH63" s="88" t="n">
        <f aca="false">G63*AO63</f>
        <v>0</v>
      </c>
      <c r="BI63" s="88" t="n">
        <f aca="false">G63*AP63</f>
        <v>0</v>
      </c>
      <c r="BJ63" s="88" t="n">
        <f aca="false">G63*H63</f>
        <v>0</v>
      </c>
      <c r="BK63" s="87" t="s">
        <v>159</v>
      </c>
      <c r="BL63" s="88" t="n">
        <v>59</v>
      </c>
      <c r="BW63" s="88" t="n">
        <v>21</v>
      </c>
      <c r="BX63" s="9" t="s">
        <v>307</v>
      </c>
    </row>
    <row r="64" customFormat="false" ht="23.85" hidden="false" customHeight="true" outlineLevel="0" collapsed="false">
      <c r="A64" s="139" t="s">
        <v>308</v>
      </c>
      <c r="B64" s="139" t="s">
        <v>107</v>
      </c>
      <c r="C64" s="139" t="s">
        <v>309</v>
      </c>
      <c r="D64" s="140" t="s">
        <v>310</v>
      </c>
      <c r="E64" s="140"/>
      <c r="F64" s="139" t="s">
        <v>202</v>
      </c>
      <c r="G64" s="141" t="n">
        <v>1</v>
      </c>
      <c r="H64" s="142"/>
      <c r="I64" s="142" t="n">
        <f aca="false">ROUND(G64*AO64,2)</f>
        <v>0</v>
      </c>
      <c r="J64" s="142" t="n">
        <f aca="false">ROUND(G64*AP64,2)</f>
        <v>0</v>
      </c>
      <c r="K64" s="142" t="n">
        <f aca="false">ROUND(G64*H64,2)</f>
        <v>0</v>
      </c>
      <c r="L64" s="142" t="n">
        <v>0.0235</v>
      </c>
      <c r="M64" s="142" t="n">
        <f aca="false">G64*L64</f>
        <v>0.0235</v>
      </c>
      <c r="N64" s="143" t="s">
        <v>155</v>
      </c>
      <c r="Z64" s="88" t="n">
        <f aca="false">ROUND(IF(AQ64="5",BJ64,0),2)</f>
        <v>0</v>
      </c>
      <c r="AB64" s="88" t="n">
        <f aca="false">ROUND(IF(AQ64="1",BH64,0),2)</f>
        <v>0</v>
      </c>
      <c r="AC64" s="88" t="n">
        <f aca="false">ROUND(IF(AQ64="1",BI64,0),2)</f>
        <v>0</v>
      </c>
      <c r="AD64" s="88" t="n">
        <f aca="false">ROUND(IF(AQ64="7",BH64,0),2)</f>
        <v>0</v>
      </c>
      <c r="AE64" s="88" t="n">
        <f aca="false">ROUND(IF(AQ64="7",BI64,0),2)</f>
        <v>0</v>
      </c>
      <c r="AF64" s="88" t="n">
        <f aca="false">ROUND(IF(AQ64="2",BH64,0),2)</f>
        <v>0</v>
      </c>
      <c r="AG64" s="88" t="n">
        <f aca="false">ROUND(IF(AQ64="2",BI64,0),2)</f>
        <v>0</v>
      </c>
      <c r="AH64" s="88" t="n">
        <f aca="false">ROUND(IF(AQ64="0",BJ64,0),2)</f>
        <v>0</v>
      </c>
      <c r="AI64" s="116" t="s">
        <v>107</v>
      </c>
      <c r="AJ64" s="144" t="n">
        <f aca="false">IF(AN64=0,K64,0)</f>
        <v>0</v>
      </c>
      <c r="AK64" s="144" t="n">
        <f aca="false">IF(AN64=12,K64,0)</f>
        <v>0</v>
      </c>
      <c r="AL64" s="144" t="n">
        <f aca="false">IF(AN64=21,K64,0)</f>
        <v>0</v>
      </c>
      <c r="AN64" s="88" t="n">
        <v>21</v>
      </c>
      <c r="AO64" s="88" t="n">
        <f aca="false">H64*1</f>
        <v>0</v>
      </c>
      <c r="AP64" s="88" t="n">
        <f aca="false">H64*(1-1)</f>
        <v>0</v>
      </c>
      <c r="AQ64" s="145" t="s">
        <v>151</v>
      </c>
      <c r="AV64" s="88" t="n">
        <f aca="false">ROUND(AW64+AX64,2)</f>
        <v>0</v>
      </c>
      <c r="AW64" s="88" t="n">
        <f aca="false">ROUND(G64*AO64,2)</f>
        <v>0</v>
      </c>
      <c r="AX64" s="88" t="n">
        <f aca="false">ROUND(G64*AP64,2)</f>
        <v>0</v>
      </c>
      <c r="AY64" s="87" t="s">
        <v>279</v>
      </c>
      <c r="AZ64" s="87" t="s">
        <v>280</v>
      </c>
      <c r="BA64" s="116" t="s">
        <v>240</v>
      </c>
      <c r="BC64" s="88" t="n">
        <f aca="false">AW64+AX64</f>
        <v>0</v>
      </c>
      <c r="BD64" s="88" t="n">
        <f aca="false">H64/(100-BE64)*100</f>
        <v>0</v>
      </c>
      <c r="BE64" s="88" t="n">
        <v>0</v>
      </c>
      <c r="BF64" s="88" t="n">
        <f aca="false">M64</f>
        <v>0.0235</v>
      </c>
      <c r="BH64" s="144" t="n">
        <f aca="false">G64*AO64</f>
        <v>0</v>
      </c>
      <c r="BI64" s="144" t="n">
        <f aca="false">G64*AP64</f>
        <v>0</v>
      </c>
      <c r="BJ64" s="144" t="n">
        <f aca="false">G64*H64</f>
        <v>0</v>
      </c>
      <c r="BK64" s="145" t="s">
        <v>180</v>
      </c>
      <c r="BL64" s="88" t="n">
        <v>59</v>
      </c>
      <c r="BW64" s="88" t="n">
        <v>21</v>
      </c>
      <c r="BX64" s="146" t="s">
        <v>310</v>
      </c>
    </row>
    <row r="65" customFormat="false" ht="23.85" hidden="false" customHeight="true" outlineLevel="0" collapsed="false">
      <c r="A65" s="134" t="s">
        <v>311</v>
      </c>
      <c r="B65" s="134" t="s">
        <v>107</v>
      </c>
      <c r="C65" s="134" t="s">
        <v>312</v>
      </c>
      <c r="D65" s="135" t="s">
        <v>313</v>
      </c>
      <c r="E65" s="135"/>
      <c r="F65" s="134" t="s">
        <v>154</v>
      </c>
      <c r="G65" s="136" t="n">
        <v>3.5</v>
      </c>
      <c r="H65" s="137"/>
      <c r="I65" s="137" t="n">
        <f aca="false">ROUND(G65*AO65,2)</f>
        <v>0</v>
      </c>
      <c r="J65" s="137" t="n">
        <f aca="false">ROUND(G65*AP65,2)</f>
        <v>0</v>
      </c>
      <c r="K65" s="137" t="n">
        <f aca="false">ROUND(G65*H65,2)</f>
        <v>0</v>
      </c>
      <c r="L65" s="137" t="n">
        <v>0.12472</v>
      </c>
      <c r="M65" s="137" t="n">
        <f aca="false">G65*L65</f>
        <v>0.43652</v>
      </c>
      <c r="N65" s="138" t="s">
        <v>155</v>
      </c>
      <c r="Z65" s="88" t="n">
        <f aca="false">ROUND(IF(AQ65="5",BJ65,0),2)</f>
        <v>0</v>
      </c>
      <c r="AB65" s="88" t="n">
        <f aca="false">ROUND(IF(AQ65="1",BH65,0),2)</f>
        <v>0</v>
      </c>
      <c r="AC65" s="88" t="n">
        <f aca="false">ROUND(IF(AQ65="1",BI65,0),2)</f>
        <v>0</v>
      </c>
      <c r="AD65" s="88" t="n">
        <f aca="false">ROUND(IF(AQ65="7",BH65,0),2)</f>
        <v>0</v>
      </c>
      <c r="AE65" s="88" t="n">
        <f aca="false">ROUND(IF(AQ65="7",BI65,0),2)</f>
        <v>0</v>
      </c>
      <c r="AF65" s="88" t="n">
        <f aca="false">ROUND(IF(AQ65="2",BH65,0),2)</f>
        <v>0</v>
      </c>
      <c r="AG65" s="88" t="n">
        <f aca="false">ROUND(IF(AQ65="2",BI65,0),2)</f>
        <v>0</v>
      </c>
      <c r="AH65" s="88" t="n">
        <f aca="false">ROUND(IF(AQ65="0",BJ65,0),2)</f>
        <v>0</v>
      </c>
      <c r="AI65" s="116" t="s">
        <v>107</v>
      </c>
      <c r="AJ65" s="88" t="n">
        <f aca="false">IF(AN65=0,K65,0)</f>
        <v>0</v>
      </c>
      <c r="AK65" s="88" t="n">
        <f aca="false">IF(AN65=12,K65,0)</f>
        <v>0</v>
      </c>
      <c r="AL65" s="88" t="n">
        <f aca="false">IF(AN65=21,K65,0)</f>
        <v>0</v>
      </c>
      <c r="AN65" s="88" t="n">
        <v>21</v>
      </c>
      <c r="AO65" s="88" t="n">
        <f aca="false">H65*0.714046193</f>
        <v>0</v>
      </c>
      <c r="AP65" s="88" t="n">
        <f aca="false">H65*(1-0.714046193)</f>
        <v>0</v>
      </c>
      <c r="AQ65" s="87" t="s">
        <v>151</v>
      </c>
      <c r="AV65" s="88" t="n">
        <f aca="false">ROUND(AW65+AX65,2)</f>
        <v>0</v>
      </c>
      <c r="AW65" s="88" t="n">
        <f aca="false">ROUND(G65*AO65,2)</f>
        <v>0</v>
      </c>
      <c r="AX65" s="88" t="n">
        <f aca="false">ROUND(G65*AP65,2)</f>
        <v>0</v>
      </c>
      <c r="AY65" s="87" t="s">
        <v>279</v>
      </c>
      <c r="AZ65" s="87" t="s">
        <v>280</v>
      </c>
      <c r="BA65" s="116" t="s">
        <v>240</v>
      </c>
      <c r="BC65" s="88" t="n">
        <f aca="false">AW65+AX65</f>
        <v>0</v>
      </c>
      <c r="BD65" s="88" t="n">
        <f aca="false">H65/(100-BE65)*100</f>
        <v>0</v>
      </c>
      <c r="BE65" s="88" t="n">
        <v>0</v>
      </c>
      <c r="BF65" s="88" t="n">
        <f aca="false">M65</f>
        <v>0.43652</v>
      </c>
      <c r="BH65" s="88" t="n">
        <f aca="false">G65*AO65</f>
        <v>0</v>
      </c>
      <c r="BI65" s="88" t="n">
        <f aca="false">G65*AP65</f>
        <v>0</v>
      </c>
      <c r="BJ65" s="88" t="n">
        <f aca="false">G65*H65</f>
        <v>0</v>
      </c>
      <c r="BK65" s="87" t="s">
        <v>159</v>
      </c>
      <c r="BL65" s="88" t="n">
        <v>59</v>
      </c>
      <c r="BW65" s="88" t="n">
        <v>21</v>
      </c>
      <c r="BX65" s="9" t="s">
        <v>313</v>
      </c>
    </row>
    <row r="66" customFormat="false" ht="35.5" hidden="false" customHeight="true" outlineLevel="0" collapsed="false">
      <c r="A66" s="134" t="s">
        <v>314</v>
      </c>
      <c r="B66" s="134" t="s">
        <v>107</v>
      </c>
      <c r="C66" s="134" t="s">
        <v>315</v>
      </c>
      <c r="D66" s="135" t="s">
        <v>316</v>
      </c>
      <c r="E66" s="135"/>
      <c r="F66" s="134" t="s">
        <v>189</v>
      </c>
      <c r="G66" s="136" t="n">
        <v>4.26</v>
      </c>
      <c r="H66" s="137"/>
      <c r="I66" s="137" t="n">
        <f aca="false">ROUND(G66*AO66,2)</f>
        <v>0</v>
      </c>
      <c r="J66" s="137" t="n">
        <f aca="false">ROUND(G66*AP66,2)</f>
        <v>0</v>
      </c>
      <c r="K66" s="137" t="n">
        <f aca="false">ROUND(G66*H66,2)</f>
        <v>0</v>
      </c>
      <c r="L66" s="137" t="n">
        <v>2.525</v>
      </c>
      <c r="M66" s="137" t="n">
        <f aca="false">G66*L66</f>
        <v>10.7565</v>
      </c>
      <c r="N66" s="138" t="s">
        <v>155</v>
      </c>
      <c r="Z66" s="88" t="n">
        <f aca="false">ROUND(IF(AQ66="5",BJ66,0),2)</f>
        <v>0</v>
      </c>
      <c r="AB66" s="88" t="n">
        <f aca="false">ROUND(IF(AQ66="1",BH66,0),2)</f>
        <v>0</v>
      </c>
      <c r="AC66" s="88" t="n">
        <f aca="false">ROUND(IF(AQ66="1",BI66,0),2)</f>
        <v>0</v>
      </c>
      <c r="AD66" s="88" t="n">
        <f aca="false">ROUND(IF(AQ66="7",BH66,0),2)</f>
        <v>0</v>
      </c>
      <c r="AE66" s="88" t="n">
        <f aca="false">ROUND(IF(AQ66="7",BI66,0),2)</f>
        <v>0</v>
      </c>
      <c r="AF66" s="88" t="n">
        <f aca="false">ROUND(IF(AQ66="2",BH66,0),2)</f>
        <v>0</v>
      </c>
      <c r="AG66" s="88" t="n">
        <f aca="false">ROUND(IF(AQ66="2",BI66,0),2)</f>
        <v>0</v>
      </c>
      <c r="AH66" s="88" t="n">
        <f aca="false">ROUND(IF(AQ66="0",BJ66,0),2)</f>
        <v>0</v>
      </c>
      <c r="AI66" s="116" t="s">
        <v>107</v>
      </c>
      <c r="AJ66" s="88" t="n">
        <f aca="false">IF(AN66=0,K66,0)</f>
        <v>0</v>
      </c>
      <c r="AK66" s="88" t="n">
        <f aca="false">IF(AN66=12,K66,0)</f>
        <v>0</v>
      </c>
      <c r="AL66" s="88" t="n">
        <f aca="false">IF(AN66=21,K66,0)</f>
        <v>0</v>
      </c>
      <c r="AN66" s="88" t="n">
        <v>21</v>
      </c>
      <c r="AO66" s="88" t="n">
        <f aca="false">H66*0.917371859</f>
        <v>0</v>
      </c>
      <c r="AP66" s="88" t="n">
        <f aca="false">H66*(1-0.917371859)</f>
        <v>0</v>
      </c>
      <c r="AQ66" s="87" t="s">
        <v>151</v>
      </c>
      <c r="AV66" s="88" t="n">
        <f aca="false">ROUND(AW66+AX66,2)</f>
        <v>0</v>
      </c>
      <c r="AW66" s="88" t="n">
        <f aca="false">ROUND(G66*AO66,2)</f>
        <v>0</v>
      </c>
      <c r="AX66" s="88" t="n">
        <f aca="false">ROUND(G66*AP66,2)</f>
        <v>0</v>
      </c>
      <c r="AY66" s="87" t="s">
        <v>279</v>
      </c>
      <c r="AZ66" s="87" t="s">
        <v>280</v>
      </c>
      <c r="BA66" s="116" t="s">
        <v>240</v>
      </c>
      <c r="BC66" s="88" t="n">
        <f aca="false">AW66+AX66</f>
        <v>0</v>
      </c>
      <c r="BD66" s="88" t="n">
        <f aca="false">H66/(100-BE66)*100</f>
        <v>0</v>
      </c>
      <c r="BE66" s="88" t="n">
        <v>0</v>
      </c>
      <c r="BF66" s="88" t="n">
        <f aca="false">M66</f>
        <v>10.7565</v>
      </c>
      <c r="BH66" s="88" t="n">
        <f aca="false">G66*AO66</f>
        <v>0</v>
      </c>
      <c r="BI66" s="88" t="n">
        <f aca="false">G66*AP66</f>
        <v>0</v>
      </c>
      <c r="BJ66" s="88" t="n">
        <f aca="false">G66*H66</f>
        <v>0</v>
      </c>
      <c r="BK66" s="87" t="s">
        <v>159</v>
      </c>
      <c r="BL66" s="88" t="n">
        <v>59</v>
      </c>
      <c r="BW66" s="88" t="n">
        <v>21</v>
      </c>
      <c r="BX66" s="9" t="s">
        <v>316</v>
      </c>
    </row>
    <row r="67" customFormat="false" ht="15" hidden="false" customHeight="true" outlineLevel="0" collapsed="false">
      <c r="A67" s="134" t="s">
        <v>317</v>
      </c>
      <c r="B67" s="134" t="s">
        <v>107</v>
      </c>
      <c r="C67" s="134" t="s">
        <v>318</v>
      </c>
      <c r="D67" s="135" t="s">
        <v>319</v>
      </c>
      <c r="E67" s="135"/>
      <c r="F67" s="134" t="s">
        <v>179</v>
      </c>
      <c r="G67" s="136" t="n">
        <v>35.207</v>
      </c>
      <c r="H67" s="137"/>
      <c r="I67" s="137" t="n">
        <f aca="false">ROUND(G67*AO67,2)</f>
        <v>0</v>
      </c>
      <c r="J67" s="137" t="n">
        <f aca="false">ROUND(G67*AP67,2)</f>
        <v>0</v>
      </c>
      <c r="K67" s="137" t="n">
        <f aca="false">ROUND(G67*H67,2)</f>
        <v>0</v>
      </c>
      <c r="L67" s="137" t="n">
        <v>0</v>
      </c>
      <c r="M67" s="137" t="n">
        <f aca="false">G67*L67</f>
        <v>0</v>
      </c>
      <c r="N67" s="138" t="s">
        <v>155</v>
      </c>
      <c r="Z67" s="88" t="n">
        <f aca="false">ROUND(IF(AQ67="5",BJ67,0),2)</f>
        <v>0</v>
      </c>
      <c r="AB67" s="88" t="n">
        <f aca="false">ROUND(IF(AQ67="1",BH67,0),2)</f>
        <v>0</v>
      </c>
      <c r="AC67" s="88" t="n">
        <f aca="false">ROUND(IF(AQ67="1",BI67,0),2)</f>
        <v>0</v>
      </c>
      <c r="AD67" s="88" t="n">
        <f aca="false">ROUND(IF(AQ67="7",BH67,0),2)</f>
        <v>0</v>
      </c>
      <c r="AE67" s="88" t="n">
        <f aca="false">ROUND(IF(AQ67="7",BI67,0),2)</f>
        <v>0</v>
      </c>
      <c r="AF67" s="88" t="n">
        <f aca="false">ROUND(IF(AQ67="2",BH67,0),2)</f>
        <v>0</v>
      </c>
      <c r="AG67" s="88" t="n">
        <f aca="false">ROUND(IF(AQ67="2",BI67,0),2)</f>
        <v>0</v>
      </c>
      <c r="AH67" s="88" t="n">
        <f aca="false">ROUND(IF(AQ67="0",BJ67,0),2)</f>
        <v>0</v>
      </c>
      <c r="AI67" s="116" t="s">
        <v>107</v>
      </c>
      <c r="AJ67" s="88" t="n">
        <f aca="false">IF(AN67=0,K67,0)</f>
        <v>0</v>
      </c>
      <c r="AK67" s="88" t="n">
        <f aca="false">IF(AN67=12,K67,0)</f>
        <v>0</v>
      </c>
      <c r="AL67" s="88" t="n">
        <f aca="false">IF(AN67=21,K67,0)</f>
        <v>0</v>
      </c>
      <c r="AN67" s="88" t="n">
        <v>21</v>
      </c>
      <c r="AO67" s="88" t="n">
        <f aca="false">H67*0</f>
        <v>0</v>
      </c>
      <c r="AP67" s="88" t="n">
        <f aca="false">H67*(1-0)</f>
        <v>0</v>
      </c>
      <c r="AQ67" s="87" t="s">
        <v>170</v>
      </c>
      <c r="AV67" s="88" t="n">
        <f aca="false">ROUND(AW67+AX67,2)</f>
        <v>0</v>
      </c>
      <c r="AW67" s="88" t="n">
        <f aca="false">ROUND(G67*AO67,2)</f>
        <v>0</v>
      </c>
      <c r="AX67" s="88" t="n">
        <f aca="false">ROUND(G67*AP67,2)</f>
        <v>0</v>
      </c>
      <c r="AY67" s="87" t="s">
        <v>279</v>
      </c>
      <c r="AZ67" s="87" t="s">
        <v>280</v>
      </c>
      <c r="BA67" s="116" t="s">
        <v>240</v>
      </c>
      <c r="BC67" s="88" t="n">
        <f aca="false">AW67+AX67</f>
        <v>0</v>
      </c>
      <c r="BD67" s="88" t="n">
        <f aca="false">H67/(100-BE67)*100</f>
        <v>0</v>
      </c>
      <c r="BE67" s="88" t="n">
        <v>0</v>
      </c>
      <c r="BF67" s="88" t="n">
        <f aca="false">M67</f>
        <v>0</v>
      </c>
      <c r="BH67" s="88" t="n">
        <f aca="false">G67*AO67</f>
        <v>0</v>
      </c>
      <c r="BI67" s="88" t="n">
        <f aca="false">G67*AP67</f>
        <v>0</v>
      </c>
      <c r="BJ67" s="88" t="n">
        <f aca="false">G67*H67</f>
        <v>0</v>
      </c>
      <c r="BK67" s="87" t="s">
        <v>159</v>
      </c>
      <c r="BL67" s="88" t="n">
        <v>59</v>
      </c>
      <c r="BW67" s="88" t="n">
        <v>21</v>
      </c>
      <c r="BX67" s="9" t="s">
        <v>319</v>
      </c>
    </row>
    <row r="68" customFormat="false" ht="15" hidden="false" customHeight="true" outlineLevel="0" collapsed="false">
      <c r="A68" s="128"/>
      <c r="B68" s="129" t="s">
        <v>107</v>
      </c>
      <c r="C68" s="129" t="s">
        <v>320</v>
      </c>
      <c r="D68" s="130" t="s">
        <v>321</v>
      </c>
      <c r="E68" s="130"/>
      <c r="F68" s="128" t="s">
        <v>97</v>
      </c>
      <c r="G68" s="131" t="s">
        <v>97</v>
      </c>
      <c r="H68" s="128"/>
      <c r="I68" s="132" t="n">
        <f aca="false">ROUND(SUM(I69:I72),2)</f>
        <v>0</v>
      </c>
      <c r="J68" s="132" t="n">
        <f aca="false">ROUND(SUM(J69:J72),2)</f>
        <v>0</v>
      </c>
      <c r="K68" s="132" t="n">
        <f aca="false">ROUND(SUM(K69:K72),2)</f>
        <v>0</v>
      </c>
      <c r="L68" s="133"/>
      <c r="M68" s="132" t="n">
        <f aca="false">SUM(M69:M72)</f>
        <v>0.4985386</v>
      </c>
      <c r="N68" s="133"/>
      <c r="AI68" s="116" t="s">
        <v>107</v>
      </c>
      <c r="AS68" s="107" t="n">
        <f aca="false">SUM(AJ69:AJ72)</f>
        <v>0</v>
      </c>
      <c r="AT68" s="107" t="n">
        <f aca="false">SUM(AK69:AK72)</f>
        <v>0</v>
      </c>
      <c r="AU68" s="107" t="n">
        <f aca="false">SUM(AL69:AL72)</f>
        <v>0</v>
      </c>
    </row>
    <row r="69" customFormat="false" ht="23.85" hidden="false" customHeight="true" outlineLevel="0" collapsed="false">
      <c r="A69" s="134" t="s">
        <v>322</v>
      </c>
      <c r="B69" s="134" t="s">
        <v>107</v>
      </c>
      <c r="C69" s="134" t="s">
        <v>323</v>
      </c>
      <c r="D69" s="135" t="s">
        <v>324</v>
      </c>
      <c r="E69" s="135"/>
      <c r="F69" s="134" t="s">
        <v>325</v>
      </c>
      <c r="G69" s="136" t="n">
        <v>433.512</v>
      </c>
      <c r="H69" s="137"/>
      <c r="I69" s="137" t="n">
        <f aca="false">ROUND(G69*AO69,2)</f>
        <v>0</v>
      </c>
      <c r="J69" s="137" t="n">
        <f aca="false">ROUND(G69*AP69,2)</f>
        <v>0</v>
      </c>
      <c r="K69" s="137" t="n">
        <f aca="false">ROUND(G69*H69,2)</f>
        <v>0</v>
      </c>
      <c r="L69" s="137" t="n">
        <v>5E-005</v>
      </c>
      <c r="M69" s="137" t="n">
        <f aca="false">G69*L69</f>
        <v>0.0216756</v>
      </c>
      <c r="N69" s="138" t="s">
        <v>155</v>
      </c>
      <c r="Z69" s="88" t="n">
        <f aca="false">ROUND(IF(AQ69="5",BJ69,0),2)</f>
        <v>0</v>
      </c>
      <c r="AB69" s="88" t="n">
        <f aca="false">ROUND(IF(AQ69="1",BH69,0),2)</f>
        <v>0</v>
      </c>
      <c r="AC69" s="88" t="n">
        <f aca="false">ROUND(IF(AQ69="1",BI69,0),2)</f>
        <v>0</v>
      </c>
      <c r="AD69" s="88" t="n">
        <f aca="false">ROUND(IF(AQ69="7",BH69,0),2)</f>
        <v>0</v>
      </c>
      <c r="AE69" s="88" t="n">
        <f aca="false">ROUND(IF(AQ69="7",BI69,0),2)</f>
        <v>0</v>
      </c>
      <c r="AF69" s="88" t="n">
        <f aca="false">ROUND(IF(AQ69="2",BH69,0),2)</f>
        <v>0</v>
      </c>
      <c r="AG69" s="88" t="n">
        <f aca="false">ROUND(IF(AQ69="2",BI69,0),2)</f>
        <v>0</v>
      </c>
      <c r="AH69" s="88" t="n">
        <f aca="false">ROUND(IF(AQ69="0",BJ69,0),2)</f>
        <v>0</v>
      </c>
      <c r="AI69" s="116" t="s">
        <v>107</v>
      </c>
      <c r="AJ69" s="88" t="n">
        <f aca="false">IF(AN69=0,K69,0)</f>
        <v>0</v>
      </c>
      <c r="AK69" s="88" t="n">
        <f aca="false">IF(AN69=12,K69,0)</f>
        <v>0</v>
      </c>
      <c r="AL69" s="88" t="n">
        <f aca="false">IF(AN69=21,K69,0)</f>
        <v>0</v>
      </c>
      <c r="AN69" s="88" t="n">
        <v>21</v>
      </c>
      <c r="AO69" s="88" t="n">
        <f aca="false">H69*0.152781263</f>
        <v>0</v>
      </c>
      <c r="AP69" s="88" t="n">
        <f aca="false">H69*(1-0.152781263)</f>
        <v>0</v>
      </c>
      <c r="AQ69" s="87" t="s">
        <v>176</v>
      </c>
      <c r="AV69" s="88" t="n">
        <f aca="false">ROUND(AW69+AX69,2)</f>
        <v>0</v>
      </c>
      <c r="AW69" s="88" t="n">
        <f aca="false">ROUND(G69*AO69,2)</f>
        <v>0</v>
      </c>
      <c r="AX69" s="88" t="n">
        <f aca="false">ROUND(G69*AP69,2)</f>
        <v>0</v>
      </c>
      <c r="AY69" s="87" t="s">
        <v>326</v>
      </c>
      <c r="AZ69" s="87" t="s">
        <v>327</v>
      </c>
      <c r="BA69" s="116" t="s">
        <v>240</v>
      </c>
      <c r="BC69" s="88" t="n">
        <f aca="false">AW69+AX69</f>
        <v>0</v>
      </c>
      <c r="BD69" s="88" t="n">
        <f aca="false">H69/(100-BE69)*100</f>
        <v>0</v>
      </c>
      <c r="BE69" s="88" t="n">
        <v>0</v>
      </c>
      <c r="BF69" s="88" t="n">
        <f aca="false">M69</f>
        <v>0.0216756</v>
      </c>
      <c r="BH69" s="88" t="n">
        <f aca="false">G69*AO69</f>
        <v>0</v>
      </c>
      <c r="BI69" s="88" t="n">
        <f aca="false">G69*AP69</f>
        <v>0</v>
      </c>
      <c r="BJ69" s="88" t="n">
        <f aca="false">G69*H69</f>
        <v>0</v>
      </c>
      <c r="BK69" s="87" t="s">
        <v>159</v>
      </c>
      <c r="BL69" s="88" t="n">
        <v>767</v>
      </c>
      <c r="BW69" s="88" t="n">
        <v>21</v>
      </c>
      <c r="BX69" s="9" t="s">
        <v>324</v>
      </c>
    </row>
    <row r="70" customFormat="false" ht="15" hidden="false" customHeight="true" outlineLevel="0" collapsed="false">
      <c r="A70" s="139" t="s">
        <v>328</v>
      </c>
      <c r="B70" s="139" t="s">
        <v>107</v>
      </c>
      <c r="C70" s="139" t="s">
        <v>329</v>
      </c>
      <c r="D70" s="140" t="s">
        <v>330</v>
      </c>
      <c r="E70" s="140"/>
      <c r="F70" s="139" t="s">
        <v>325</v>
      </c>
      <c r="G70" s="141" t="n">
        <v>31.363</v>
      </c>
      <c r="H70" s="142"/>
      <c r="I70" s="142" t="n">
        <f aca="false">ROUND(G70*AO70,2)</f>
        <v>0</v>
      </c>
      <c r="J70" s="142" t="n">
        <f aca="false">ROUND(G70*AP70,2)</f>
        <v>0</v>
      </c>
      <c r="K70" s="142" t="n">
        <f aca="false">ROUND(G70*H70,2)</f>
        <v>0</v>
      </c>
      <c r="L70" s="142" t="n">
        <v>0.001</v>
      </c>
      <c r="M70" s="142" t="n">
        <f aca="false">G70*L70</f>
        <v>0.031363</v>
      </c>
      <c r="N70" s="143" t="s">
        <v>155</v>
      </c>
      <c r="Z70" s="88" t="n">
        <f aca="false">ROUND(IF(AQ70="5",BJ70,0),2)</f>
        <v>0</v>
      </c>
      <c r="AB70" s="88" t="n">
        <f aca="false">ROUND(IF(AQ70="1",BH70,0),2)</f>
        <v>0</v>
      </c>
      <c r="AC70" s="88" t="n">
        <f aca="false">ROUND(IF(AQ70="1",BI70,0),2)</f>
        <v>0</v>
      </c>
      <c r="AD70" s="88" t="n">
        <f aca="false">ROUND(IF(AQ70="7",BH70,0),2)</f>
        <v>0</v>
      </c>
      <c r="AE70" s="88" t="n">
        <f aca="false">ROUND(IF(AQ70="7",BI70,0),2)</f>
        <v>0</v>
      </c>
      <c r="AF70" s="88" t="n">
        <f aca="false">ROUND(IF(AQ70="2",BH70,0),2)</f>
        <v>0</v>
      </c>
      <c r="AG70" s="88" t="n">
        <f aca="false">ROUND(IF(AQ70="2",BI70,0),2)</f>
        <v>0</v>
      </c>
      <c r="AH70" s="88" t="n">
        <f aca="false">ROUND(IF(AQ70="0",BJ70,0),2)</f>
        <v>0</v>
      </c>
      <c r="AI70" s="116" t="s">
        <v>107</v>
      </c>
      <c r="AJ70" s="144" t="n">
        <f aca="false">IF(AN70=0,K70,0)</f>
        <v>0</v>
      </c>
      <c r="AK70" s="144" t="n">
        <f aca="false">IF(AN70=12,K70,0)</f>
        <v>0</v>
      </c>
      <c r="AL70" s="144" t="n">
        <f aca="false">IF(AN70=21,K70,0)</f>
        <v>0</v>
      </c>
      <c r="AN70" s="88" t="n">
        <v>21</v>
      </c>
      <c r="AO70" s="88" t="n">
        <f aca="false">H70*1</f>
        <v>0</v>
      </c>
      <c r="AP70" s="88" t="n">
        <f aca="false">H70*(1-1)</f>
        <v>0</v>
      </c>
      <c r="AQ70" s="145" t="s">
        <v>176</v>
      </c>
      <c r="AV70" s="88" t="n">
        <f aca="false">ROUND(AW70+AX70,2)</f>
        <v>0</v>
      </c>
      <c r="AW70" s="88" t="n">
        <f aca="false">ROUND(G70*AO70,2)</f>
        <v>0</v>
      </c>
      <c r="AX70" s="88" t="n">
        <f aca="false">ROUND(G70*AP70,2)</f>
        <v>0</v>
      </c>
      <c r="AY70" s="87" t="s">
        <v>326</v>
      </c>
      <c r="AZ70" s="87" t="s">
        <v>327</v>
      </c>
      <c r="BA70" s="116" t="s">
        <v>240</v>
      </c>
      <c r="BC70" s="88" t="n">
        <f aca="false">AW70+AX70</f>
        <v>0</v>
      </c>
      <c r="BD70" s="88" t="n">
        <f aca="false">H70/(100-BE70)*100</f>
        <v>0</v>
      </c>
      <c r="BE70" s="88" t="n">
        <v>0</v>
      </c>
      <c r="BF70" s="88" t="n">
        <f aca="false">M70</f>
        <v>0.031363</v>
      </c>
      <c r="BH70" s="144" t="n">
        <f aca="false">G70*AO70</f>
        <v>0</v>
      </c>
      <c r="BI70" s="144" t="n">
        <f aca="false">G70*AP70</f>
        <v>0</v>
      </c>
      <c r="BJ70" s="144" t="n">
        <f aca="false">G70*H70</f>
        <v>0</v>
      </c>
      <c r="BK70" s="145" t="s">
        <v>180</v>
      </c>
      <c r="BL70" s="88" t="n">
        <v>767</v>
      </c>
      <c r="BW70" s="88" t="n">
        <v>21</v>
      </c>
      <c r="BX70" s="146" t="s">
        <v>330</v>
      </c>
    </row>
    <row r="71" customFormat="false" ht="15" hidden="false" customHeight="true" outlineLevel="0" collapsed="false">
      <c r="A71" s="139" t="s">
        <v>331</v>
      </c>
      <c r="B71" s="139" t="s">
        <v>107</v>
      </c>
      <c r="C71" s="139" t="s">
        <v>329</v>
      </c>
      <c r="D71" s="140" t="s">
        <v>332</v>
      </c>
      <c r="E71" s="140"/>
      <c r="F71" s="139" t="s">
        <v>325</v>
      </c>
      <c r="G71" s="141" t="n">
        <v>445.5</v>
      </c>
      <c r="H71" s="142"/>
      <c r="I71" s="142" t="n">
        <f aca="false">ROUND(G71*AO71,2)</f>
        <v>0</v>
      </c>
      <c r="J71" s="142" t="n">
        <f aca="false">ROUND(G71*AP71,2)</f>
        <v>0</v>
      </c>
      <c r="K71" s="142" t="n">
        <f aca="false">ROUND(G71*H71,2)</f>
        <v>0</v>
      </c>
      <c r="L71" s="142" t="n">
        <v>0.001</v>
      </c>
      <c r="M71" s="142" t="n">
        <f aca="false">G71*L71</f>
        <v>0.4455</v>
      </c>
      <c r="N71" s="143" t="s">
        <v>155</v>
      </c>
      <c r="Z71" s="88" t="n">
        <f aca="false">ROUND(IF(AQ71="5",BJ71,0),2)</f>
        <v>0</v>
      </c>
      <c r="AB71" s="88" t="n">
        <f aca="false">ROUND(IF(AQ71="1",BH71,0),2)</f>
        <v>0</v>
      </c>
      <c r="AC71" s="88" t="n">
        <f aca="false">ROUND(IF(AQ71="1",BI71,0),2)</f>
        <v>0</v>
      </c>
      <c r="AD71" s="88" t="n">
        <f aca="false">ROUND(IF(AQ71="7",BH71,0),2)</f>
        <v>0</v>
      </c>
      <c r="AE71" s="88" t="n">
        <f aca="false">ROUND(IF(AQ71="7",BI71,0),2)</f>
        <v>0</v>
      </c>
      <c r="AF71" s="88" t="n">
        <f aca="false">ROUND(IF(AQ71="2",BH71,0),2)</f>
        <v>0</v>
      </c>
      <c r="AG71" s="88" t="n">
        <f aca="false">ROUND(IF(AQ71="2",BI71,0),2)</f>
        <v>0</v>
      </c>
      <c r="AH71" s="88" t="n">
        <f aca="false">ROUND(IF(AQ71="0",BJ71,0),2)</f>
        <v>0</v>
      </c>
      <c r="AI71" s="116" t="s">
        <v>107</v>
      </c>
      <c r="AJ71" s="144" t="n">
        <f aca="false">IF(AN71=0,K71,0)</f>
        <v>0</v>
      </c>
      <c r="AK71" s="144" t="n">
        <f aca="false">IF(AN71=12,K71,0)</f>
        <v>0</v>
      </c>
      <c r="AL71" s="144" t="n">
        <f aca="false">IF(AN71=21,K71,0)</f>
        <v>0</v>
      </c>
      <c r="AN71" s="88" t="n">
        <v>21</v>
      </c>
      <c r="AO71" s="88" t="n">
        <f aca="false">H71*1</f>
        <v>0</v>
      </c>
      <c r="AP71" s="88" t="n">
        <f aca="false">H71*(1-1)</f>
        <v>0</v>
      </c>
      <c r="AQ71" s="145" t="s">
        <v>176</v>
      </c>
      <c r="AV71" s="88" t="n">
        <f aca="false">ROUND(AW71+AX71,2)</f>
        <v>0</v>
      </c>
      <c r="AW71" s="88" t="n">
        <f aca="false">ROUND(G71*AO71,2)</f>
        <v>0</v>
      </c>
      <c r="AX71" s="88" t="n">
        <f aca="false">ROUND(G71*AP71,2)</f>
        <v>0</v>
      </c>
      <c r="AY71" s="87" t="s">
        <v>326</v>
      </c>
      <c r="AZ71" s="87" t="s">
        <v>327</v>
      </c>
      <c r="BA71" s="116" t="s">
        <v>240</v>
      </c>
      <c r="BC71" s="88" t="n">
        <f aca="false">AW71+AX71</f>
        <v>0</v>
      </c>
      <c r="BD71" s="88" t="n">
        <f aca="false">H71/(100-BE71)*100</f>
        <v>0</v>
      </c>
      <c r="BE71" s="88" t="n">
        <v>0</v>
      </c>
      <c r="BF71" s="88" t="n">
        <f aca="false">M71</f>
        <v>0.4455</v>
      </c>
      <c r="BH71" s="144" t="n">
        <f aca="false">G71*AO71</f>
        <v>0</v>
      </c>
      <c r="BI71" s="144" t="n">
        <f aca="false">G71*AP71</f>
        <v>0</v>
      </c>
      <c r="BJ71" s="144" t="n">
        <f aca="false">G71*H71</f>
        <v>0</v>
      </c>
      <c r="BK71" s="145" t="s">
        <v>180</v>
      </c>
      <c r="BL71" s="88" t="n">
        <v>767</v>
      </c>
      <c r="BW71" s="88" t="n">
        <v>21</v>
      </c>
      <c r="BX71" s="146" t="s">
        <v>332</v>
      </c>
    </row>
    <row r="72" customFormat="false" ht="15" hidden="false" customHeight="true" outlineLevel="0" collapsed="false">
      <c r="A72" s="134" t="s">
        <v>333</v>
      </c>
      <c r="B72" s="134" t="s">
        <v>107</v>
      </c>
      <c r="C72" s="134" t="s">
        <v>334</v>
      </c>
      <c r="D72" s="135" t="s">
        <v>335</v>
      </c>
      <c r="E72" s="135"/>
      <c r="F72" s="134" t="s">
        <v>179</v>
      </c>
      <c r="G72" s="136" t="n">
        <v>0.498</v>
      </c>
      <c r="H72" s="137"/>
      <c r="I72" s="137" t="n">
        <f aca="false">ROUND(G72*AO72,2)</f>
        <v>0</v>
      </c>
      <c r="J72" s="137" t="n">
        <f aca="false">ROUND(G72*AP72,2)</f>
        <v>0</v>
      </c>
      <c r="K72" s="137" t="n">
        <f aca="false">ROUND(G72*H72,2)</f>
        <v>0</v>
      </c>
      <c r="L72" s="137" t="n">
        <v>0</v>
      </c>
      <c r="M72" s="137" t="n">
        <f aca="false">G72*L72</f>
        <v>0</v>
      </c>
      <c r="N72" s="138" t="s">
        <v>155</v>
      </c>
      <c r="Z72" s="88" t="n">
        <f aca="false">ROUND(IF(AQ72="5",BJ72,0),2)</f>
        <v>0</v>
      </c>
      <c r="AB72" s="88" t="n">
        <f aca="false">ROUND(IF(AQ72="1",BH72,0),2)</f>
        <v>0</v>
      </c>
      <c r="AC72" s="88" t="n">
        <f aca="false">ROUND(IF(AQ72="1",BI72,0),2)</f>
        <v>0</v>
      </c>
      <c r="AD72" s="88" t="n">
        <f aca="false">ROUND(IF(AQ72="7",BH72,0),2)</f>
        <v>0</v>
      </c>
      <c r="AE72" s="88" t="n">
        <f aca="false">ROUND(IF(AQ72="7",BI72,0),2)</f>
        <v>0</v>
      </c>
      <c r="AF72" s="88" t="n">
        <f aca="false">ROUND(IF(AQ72="2",BH72,0),2)</f>
        <v>0</v>
      </c>
      <c r="AG72" s="88" t="n">
        <f aca="false">ROUND(IF(AQ72="2",BI72,0),2)</f>
        <v>0</v>
      </c>
      <c r="AH72" s="88" t="n">
        <f aca="false">ROUND(IF(AQ72="0",BJ72,0),2)</f>
        <v>0</v>
      </c>
      <c r="AI72" s="116" t="s">
        <v>107</v>
      </c>
      <c r="AJ72" s="88" t="n">
        <f aca="false">IF(AN72=0,K72,0)</f>
        <v>0</v>
      </c>
      <c r="AK72" s="88" t="n">
        <f aca="false">IF(AN72=12,K72,0)</f>
        <v>0</v>
      </c>
      <c r="AL72" s="88" t="n">
        <f aca="false">IF(AN72=21,K72,0)</f>
        <v>0</v>
      </c>
      <c r="AN72" s="88" t="n">
        <v>21</v>
      </c>
      <c r="AO72" s="88" t="n">
        <f aca="false">H72*0</f>
        <v>0</v>
      </c>
      <c r="AP72" s="88" t="n">
        <f aca="false">H72*(1-0)</f>
        <v>0</v>
      </c>
      <c r="AQ72" s="87" t="s">
        <v>170</v>
      </c>
      <c r="AV72" s="88" t="n">
        <f aca="false">ROUND(AW72+AX72,2)</f>
        <v>0</v>
      </c>
      <c r="AW72" s="88" t="n">
        <f aca="false">ROUND(G72*AO72,2)</f>
        <v>0</v>
      </c>
      <c r="AX72" s="88" t="n">
        <f aca="false">ROUND(G72*AP72,2)</f>
        <v>0</v>
      </c>
      <c r="AY72" s="87" t="s">
        <v>326</v>
      </c>
      <c r="AZ72" s="87" t="s">
        <v>327</v>
      </c>
      <c r="BA72" s="116" t="s">
        <v>240</v>
      </c>
      <c r="BC72" s="88" t="n">
        <f aca="false">AW72+AX72</f>
        <v>0</v>
      </c>
      <c r="BD72" s="88" t="n">
        <f aca="false">H72/(100-BE72)*100</f>
        <v>0</v>
      </c>
      <c r="BE72" s="88" t="n">
        <v>0</v>
      </c>
      <c r="BF72" s="88" t="n">
        <f aca="false">M72</f>
        <v>0</v>
      </c>
      <c r="BH72" s="88" t="n">
        <f aca="false">G72*AO72</f>
        <v>0</v>
      </c>
      <c r="BI72" s="88" t="n">
        <f aca="false">G72*AP72</f>
        <v>0</v>
      </c>
      <c r="BJ72" s="88" t="n">
        <f aca="false">G72*H72</f>
        <v>0</v>
      </c>
      <c r="BK72" s="87" t="s">
        <v>159</v>
      </c>
      <c r="BL72" s="88" t="n">
        <v>767</v>
      </c>
      <c r="BW72" s="88" t="n">
        <v>21</v>
      </c>
      <c r="BX72" s="9" t="s">
        <v>335</v>
      </c>
    </row>
    <row r="73" customFormat="false" ht="15" hidden="false" customHeight="true" outlineLevel="0" collapsed="false">
      <c r="A73" s="128"/>
      <c r="B73" s="129" t="s">
        <v>107</v>
      </c>
      <c r="C73" s="129" t="s">
        <v>336</v>
      </c>
      <c r="D73" s="130" t="s">
        <v>337</v>
      </c>
      <c r="E73" s="130"/>
      <c r="F73" s="128" t="s">
        <v>97</v>
      </c>
      <c r="G73" s="131" t="s">
        <v>97</v>
      </c>
      <c r="H73" s="128"/>
      <c r="I73" s="132" t="n">
        <f aca="false">ROUND(SUM(I74:I75),2)</f>
        <v>0</v>
      </c>
      <c r="J73" s="132" t="n">
        <f aca="false">ROUND(SUM(J74:J75),2)</f>
        <v>0</v>
      </c>
      <c r="K73" s="132" t="n">
        <f aca="false">ROUND(SUM(K74:K75),2)</f>
        <v>0</v>
      </c>
      <c r="L73" s="133"/>
      <c r="M73" s="132" t="n">
        <f aca="false">SUM(M74:M75)</f>
        <v>0</v>
      </c>
      <c r="N73" s="133"/>
      <c r="AI73" s="116" t="s">
        <v>107</v>
      </c>
      <c r="AS73" s="107" t="n">
        <f aca="false">SUM(AJ74:AJ75)</f>
        <v>0</v>
      </c>
      <c r="AT73" s="107" t="n">
        <f aca="false">SUM(AK74:AK75)</f>
        <v>0</v>
      </c>
      <c r="AU73" s="107" t="n">
        <f aca="false">SUM(AL74:AL75)</f>
        <v>0</v>
      </c>
    </row>
    <row r="74" customFormat="false" ht="23.85" hidden="false" customHeight="true" outlineLevel="0" collapsed="false">
      <c r="A74" s="134" t="s">
        <v>338</v>
      </c>
      <c r="B74" s="134" t="s">
        <v>107</v>
      </c>
      <c r="C74" s="134" t="s">
        <v>339</v>
      </c>
      <c r="D74" s="135" t="s">
        <v>340</v>
      </c>
      <c r="E74" s="135"/>
      <c r="F74" s="134" t="s">
        <v>163</v>
      </c>
      <c r="G74" s="136" t="n">
        <v>8</v>
      </c>
      <c r="H74" s="137"/>
      <c r="I74" s="137" t="n">
        <f aca="false">ROUND(G74*AO74,2)</f>
        <v>0</v>
      </c>
      <c r="J74" s="137" t="n">
        <f aca="false">ROUND(G74*AP74,2)</f>
        <v>0</v>
      </c>
      <c r="K74" s="137" t="n">
        <f aca="false">ROUND(G74*H74,2)</f>
        <v>0</v>
      </c>
      <c r="L74" s="137" t="n">
        <v>0</v>
      </c>
      <c r="M74" s="137" t="n">
        <f aca="false">G74*L74</f>
        <v>0</v>
      </c>
      <c r="N74" s="138" t="s">
        <v>155</v>
      </c>
      <c r="Z74" s="88" t="n">
        <f aca="false">ROUND(IF(AQ74="5",BJ74,0),2)</f>
        <v>0</v>
      </c>
      <c r="AB74" s="88" t="n">
        <f aca="false">ROUND(IF(AQ74="1",BH74,0),2)</f>
        <v>0</v>
      </c>
      <c r="AC74" s="88" t="n">
        <f aca="false">ROUND(IF(AQ74="1",BI74,0),2)</f>
        <v>0</v>
      </c>
      <c r="AD74" s="88" t="n">
        <f aca="false">ROUND(IF(AQ74="7",BH74,0),2)</f>
        <v>0</v>
      </c>
      <c r="AE74" s="88" t="n">
        <f aca="false">ROUND(IF(AQ74="7",BI74,0),2)</f>
        <v>0</v>
      </c>
      <c r="AF74" s="88" t="n">
        <f aca="false">ROUND(IF(AQ74="2",BH74,0),2)</f>
        <v>0</v>
      </c>
      <c r="AG74" s="88" t="n">
        <f aca="false">ROUND(IF(AQ74="2",BI74,0),2)</f>
        <v>0</v>
      </c>
      <c r="AH74" s="88" t="n">
        <f aca="false">ROUND(IF(AQ74="0",BJ74,0),2)</f>
        <v>0</v>
      </c>
      <c r="AI74" s="116" t="s">
        <v>107</v>
      </c>
      <c r="AJ74" s="88" t="n">
        <f aca="false">IF(AN74=0,K74,0)</f>
        <v>0</v>
      </c>
      <c r="AK74" s="88" t="n">
        <f aca="false">IF(AN74=12,K74,0)</f>
        <v>0</v>
      </c>
      <c r="AL74" s="88" t="n">
        <f aca="false">IF(AN74=21,K74,0)</f>
        <v>0</v>
      </c>
      <c r="AN74" s="88" t="n">
        <v>21</v>
      </c>
      <c r="AO74" s="88" t="n">
        <f aca="false">H74*0.008298755</f>
        <v>0</v>
      </c>
      <c r="AP74" s="88" t="n">
        <f aca="false">H74*(1-0.008298755)</f>
        <v>0</v>
      </c>
      <c r="AQ74" s="87" t="s">
        <v>151</v>
      </c>
      <c r="AV74" s="88" t="n">
        <f aca="false">ROUND(AW74+AX74,2)</f>
        <v>0</v>
      </c>
      <c r="AW74" s="88" t="n">
        <f aca="false">ROUND(G74*AO74,2)</f>
        <v>0</v>
      </c>
      <c r="AX74" s="88" t="n">
        <f aca="false">ROUND(G74*AP74,2)</f>
        <v>0</v>
      </c>
      <c r="AY74" s="87" t="s">
        <v>341</v>
      </c>
      <c r="AZ74" s="87" t="s">
        <v>342</v>
      </c>
      <c r="BA74" s="116" t="s">
        <v>240</v>
      </c>
      <c r="BC74" s="88" t="n">
        <f aca="false">AW74+AX74</f>
        <v>0</v>
      </c>
      <c r="BD74" s="88" t="n">
        <f aca="false">H74/(100-BE74)*100</f>
        <v>0</v>
      </c>
      <c r="BE74" s="88" t="n">
        <v>0</v>
      </c>
      <c r="BF74" s="88" t="n">
        <f aca="false">M74</f>
        <v>0</v>
      </c>
      <c r="BH74" s="88" t="n">
        <f aca="false">G74*AO74</f>
        <v>0</v>
      </c>
      <c r="BI74" s="88" t="n">
        <f aca="false">G74*AP74</f>
        <v>0</v>
      </c>
      <c r="BJ74" s="88" t="n">
        <f aca="false">G74*H74</f>
        <v>0</v>
      </c>
      <c r="BK74" s="87" t="s">
        <v>159</v>
      </c>
      <c r="BL74" s="88" t="n">
        <v>90</v>
      </c>
      <c r="BW74" s="88" t="n">
        <v>21</v>
      </c>
      <c r="BX74" s="9" t="s">
        <v>340</v>
      </c>
    </row>
    <row r="75" customFormat="false" ht="23.85" hidden="false" customHeight="true" outlineLevel="0" collapsed="false">
      <c r="A75" s="134" t="s">
        <v>343</v>
      </c>
      <c r="B75" s="134" t="s">
        <v>107</v>
      </c>
      <c r="C75" s="134" t="s">
        <v>344</v>
      </c>
      <c r="D75" s="135" t="s">
        <v>345</v>
      </c>
      <c r="E75" s="135"/>
      <c r="F75" s="134" t="s">
        <v>163</v>
      </c>
      <c r="G75" s="136" t="n">
        <v>8</v>
      </c>
      <c r="H75" s="137"/>
      <c r="I75" s="137" t="n">
        <f aca="false">ROUND(G75*AO75,2)</f>
        <v>0</v>
      </c>
      <c r="J75" s="137" t="n">
        <f aca="false">ROUND(G75*AP75,2)</f>
        <v>0</v>
      </c>
      <c r="K75" s="137" t="n">
        <f aca="false">ROUND(G75*H75,2)</f>
        <v>0</v>
      </c>
      <c r="L75" s="137" t="n">
        <v>0</v>
      </c>
      <c r="M75" s="137" t="n">
        <f aca="false">G75*L75</f>
        <v>0</v>
      </c>
      <c r="N75" s="138" t="s">
        <v>155</v>
      </c>
      <c r="Z75" s="88" t="n">
        <f aca="false">ROUND(IF(AQ75="5",BJ75,0),2)</f>
        <v>0</v>
      </c>
      <c r="AB75" s="88" t="n">
        <f aca="false">ROUND(IF(AQ75="1",BH75,0),2)</f>
        <v>0</v>
      </c>
      <c r="AC75" s="88" t="n">
        <f aca="false">ROUND(IF(AQ75="1",BI75,0),2)</f>
        <v>0</v>
      </c>
      <c r="AD75" s="88" t="n">
        <f aca="false">ROUND(IF(AQ75="7",BH75,0),2)</f>
        <v>0</v>
      </c>
      <c r="AE75" s="88" t="n">
        <f aca="false">ROUND(IF(AQ75="7",BI75,0),2)</f>
        <v>0</v>
      </c>
      <c r="AF75" s="88" t="n">
        <f aca="false">ROUND(IF(AQ75="2",BH75,0),2)</f>
        <v>0</v>
      </c>
      <c r="AG75" s="88" t="n">
        <f aca="false">ROUND(IF(AQ75="2",BI75,0),2)</f>
        <v>0</v>
      </c>
      <c r="AH75" s="88" t="n">
        <f aca="false">ROUND(IF(AQ75="0",BJ75,0),2)</f>
        <v>0</v>
      </c>
      <c r="AI75" s="116" t="s">
        <v>107</v>
      </c>
      <c r="AJ75" s="88" t="n">
        <f aca="false">IF(AN75=0,K75,0)</f>
        <v>0</v>
      </c>
      <c r="AK75" s="88" t="n">
        <f aca="false">IF(AN75=12,K75,0)</f>
        <v>0</v>
      </c>
      <c r="AL75" s="88" t="n">
        <f aca="false">IF(AN75=21,K75,0)</f>
        <v>0</v>
      </c>
      <c r="AN75" s="88" t="n">
        <v>21</v>
      </c>
      <c r="AO75" s="88" t="n">
        <f aca="false">H75*0</f>
        <v>0</v>
      </c>
      <c r="AP75" s="88" t="n">
        <f aca="false">H75*(1-0)</f>
        <v>0</v>
      </c>
      <c r="AQ75" s="87" t="s">
        <v>151</v>
      </c>
      <c r="AV75" s="88" t="n">
        <f aca="false">ROUND(AW75+AX75,2)</f>
        <v>0</v>
      </c>
      <c r="AW75" s="88" t="n">
        <f aca="false">ROUND(G75*AO75,2)</f>
        <v>0</v>
      </c>
      <c r="AX75" s="88" t="n">
        <f aca="false">ROUND(G75*AP75,2)</f>
        <v>0</v>
      </c>
      <c r="AY75" s="87" t="s">
        <v>341</v>
      </c>
      <c r="AZ75" s="87" t="s">
        <v>342</v>
      </c>
      <c r="BA75" s="116" t="s">
        <v>240</v>
      </c>
      <c r="BC75" s="88" t="n">
        <f aca="false">AW75+AX75</f>
        <v>0</v>
      </c>
      <c r="BD75" s="88" t="n">
        <f aca="false">H75/(100-BE75)*100</f>
        <v>0</v>
      </c>
      <c r="BE75" s="88" t="n">
        <v>0</v>
      </c>
      <c r="BF75" s="88" t="n">
        <f aca="false">M75</f>
        <v>0</v>
      </c>
      <c r="BH75" s="88" t="n">
        <f aca="false">G75*AO75</f>
        <v>0</v>
      </c>
      <c r="BI75" s="88" t="n">
        <f aca="false">G75*AP75</f>
        <v>0</v>
      </c>
      <c r="BJ75" s="88" t="n">
        <f aca="false">G75*H75</f>
        <v>0</v>
      </c>
      <c r="BK75" s="87" t="s">
        <v>159</v>
      </c>
      <c r="BL75" s="88" t="n">
        <v>90</v>
      </c>
      <c r="BW75" s="88" t="n">
        <v>21</v>
      </c>
      <c r="BX75" s="9" t="s">
        <v>345</v>
      </c>
    </row>
    <row r="76" customFormat="false" ht="23.85" hidden="false" customHeight="true" outlineLevel="0" collapsed="false">
      <c r="A76" s="128"/>
      <c r="B76" s="129" t="s">
        <v>107</v>
      </c>
      <c r="C76" s="129" t="s">
        <v>346</v>
      </c>
      <c r="D76" s="130" t="s">
        <v>347</v>
      </c>
      <c r="E76" s="130"/>
      <c r="F76" s="128" t="s">
        <v>97</v>
      </c>
      <c r="G76" s="131" t="s">
        <v>97</v>
      </c>
      <c r="H76" s="128"/>
      <c r="I76" s="132" t="n">
        <f aca="false">ROUND(SUM(I77:I82),2)</f>
        <v>0</v>
      </c>
      <c r="J76" s="132" t="n">
        <f aca="false">ROUND(SUM(J77:J82),2)</f>
        <v>0</v>
      </c>
      <c r="K76" s="132" t="n">
        <f aca="false">ROUND(SUM(K77:K82),2)</f>
        <v>0</v>
      </c>
      <c r="L76" s="133"/>
      <c r="M76" s="132" t="n">
        <f aca="false">SUM(M77:M82)</f>
        <v>3.587524</v>
      </c>
      <c r="N76" s="133"/>
      <c r="AI76" s="116" t="s">
        <v>107</v>
      </c>
      <c r="AS76" s="107" t="n">
        <f aca="false">SUM(AJ77:AJ82)</f>
        <v>0</v>
      </c>
      <c r="AT76" s="107" t="n">
        <f aca="false">SUM(AK77:AK82)</f>
        <v>0</v>
      </c>
      <c r="AU76" s="107" t="n">
        <f aca="false">SUM(AL77:AL82)</f>
        <v>0</v>
      </c>
    </row>
    <row r="77" customFormat="false" ht="23.85" hidden="false" customHeight="true" outlineLevel="0" collapsed="false">
      <c r="A77" s="134" t="s">
        <v>348</v>
      </c>
      <c r="B77" s="134" t="s">
        <v>107</v>
      </c>
      <c r="C77" s="134" t="s">
        <v>349</v>
      </c>
      <c r="D77" s="135" t="s">
        <v>350</v>
      </c>
      <c r="E77" s="135"/>
      <c r="F77" s="134" t="s">
        <v>169</v>
      </c>
      <c r="G77" s="136" t="n">
        <v>6.853</v>
      </c>
      <c r="H77" s="137"/>
      <c r="I77" s="137" t="n">
        <f aca="false">ROUND(G77*AO77,2)</f>
        <v>0</v>
      </c>
      <c r="J77" s="137" t="n">
        <f aca="false">ROUND(G77*AP77,2)</f>
        <v>0</v>
      </c>
      <c r="K77" s="137" t="n">
        <f aca="false">ROUND(G77*H77,2)</f>
        <v>0</v>
      </c>
      <c r="L77" s="137" t="n">
        <v>0.23</v>
      </c>
      <c r="M77" s="137" t="n">
        <f aca="false">G77*L77</f>
        <v>1.57619</v>
      </c>
      <c r="N77" s="138" t="s">
        <v>155</v>
      </c>
      <c r="Z77" s="88" t="n">
        <f aca="false">ROUND(IF(AQ77="5",BJ77,0),2)</f>
        <v>0</v>
      </c>
      <c r="AB77" s="88" t="n">
        <f aca="false">ROUND(IF(AQ77="1",BH77,0),2)</f>
        <v>0</v>
      </c>
      <c r="AC77" s="88" t="n">
        <f aca="false">ROUND(IF(AQ77="1",BI77,0),2)</f>
        <v>0</v>
      </c>
      <c r="AD77" s="88" t="n">
        <f aca="false">ROUND(IF(AQ77="7",BH77,0),2)</f>
        <v>0</v>
      </c>
      <c r="AE77" s="88" t="n">
        <f aca="false">ROUND(IF(AQ77="7",BI77,0),2)</f>
        <v>0</v>
      </c>
      <c r="AF77" s="88" t="n">
        <f aca="false">ROUND(IF(AQ77="2",BH77,0),2)</f>
        <v>0</v>
      </c>
      <c r="AG77" s="88" t="n">
        <f aca="false">ROUND(IF(AQ77="2",BI77,0),2)</f>
        <v>0</v>
      </c>
      <c r="AH77" s="88" t="n">
        <f aca="false">ROUND(IF(AQ77="0",BJ77,0),2)</f>
        <v>0</v>
      </c>
      <c r="AI77" s="116" t="s">
        <v>107</v>
      </c>
      <c r="AJ77" s="88" t="n">
        <f aca="false">IF(AN77=0,K77,0)</f>
        <v>0</v>
      </c>
      <c r="AK77" s="88" t="n">
        <f aca="false">IF(AN77=12,K77,0)</f>
        <v>0</v>
      </c>
      <c r="AL77" s="88" t="n">
        <f aca="false">IF(AN77=21,K77,0)</f>
        <v>0</v>
      </c>
      <c r="AN77" s="88" t="n">
        <v>21</v>
      </c>
      <c r="AO77" s="88" t="n">
        <f aca="false">H77*0.772986711</f>
        <v>0</v>
      </c>
      <c r="AP77" s="88" t="n">
        <f aca="false">H77*(1-0.772986711)</f>
        <v>0</v>
      </c>
      <c r="AQ77" s="87" t="s">
        <v>151</v>
      </c>
      <c r="AV77" s="88" t="n">
        <f aca="false">ROUND(AW77+AX77,2)</f>
        <v>0</v>
      </c>
      <c r="AW77" s="88" t="n">
        <f aca="false">ROUND(G77*AO77,2)</f>
        <v>0</v>
      </c>
      <c r="AX77" s="88" t="n">
        <f aca="false">ROUND(G77*AP77,2)</f>
        <v>0</v>
      </c>
      <c r="AY77" s="87" t="s">
        <v>351</v>
      </c>
      <c r="AZ77" s="87" t="s">
        <v>342</v>
      </c>
      <c r="BA77" s="116" t="s">
        <v>240</v>
      </c>
      <c r="BC77" s="88" t="n">
        <f aca="false">AW77+AX77</f>
        <v>0</v>
      </c>
      <c r="BD77" s="88" t="n">
        <f aca="false">H77/(100-BE77)*100</f>
        <v>0</v>
      </c>
      <c r="BE77" s="88" t="n">
        <v>0</v>
      </c>
      <c r="BF77" s="88" t="n">
        <f aca="false">M77</f>
        <v>1.57619</v>
      </c>
      <c r="BH77" s="88" t="n">
        <f aca="false">G77*AO77</f>
        <v>0</v>
      </c>
      <c r="BI77" s="88" t="n">
        <f aca="false">G77*AP77</f>
        <v>0</v>
      </c>
      <c r="BJ77" s="88" t="n">
        <f aca="false">G77*H77</f>
        <v>0</v>
      </c>
      <c r="BK77" s="87" t="s">
        <v>159</v>
      </c>
      <c r="BL77" s="88" t="n">
        <v>91</v>
      </c>
      <c r="BW77" s="88" t="n">
        <v>21</v>
      </c>
      <c r="BX77" s="9" t="s">
        <v>350</v>
      </c>
    </row>
    <row r="78" customFormat="false" ht="15" hidden="false" customHeight="true" outlineLevel="0" collapsed="false">
      <c r="A78" s="134" t="s">
        <v>352</v>
      </c>
      <c r="B78" s="134" t="s">
        <v>107</v>
      </c>
      <c r="C78" s="134" t="s">
        <v>353</v>
      </c>
      <c r="D78" s="135" t="s">
        <v>354</v>
      </c>
      <c r="E78" s="135"/>
      <c r="F78" s="134" t="s">
        <v>169</v>
      </c>
      <c r="G78" s="136" t="n">
        <v>5.46</v>
      </c>
      <c r="H78" s="137"/>
      <c r="I78" s="137" t="n">
        <f aca="false">ROUND(G78*AO78,2)</f>
        <v>0</v>
      </c>
      <c r="J78" s="137" t="n">
        <f aca="false">ROUND(G78*AP78,2)</f>
        <v>0</v>
      </c>
      <c r="K78" s="137" t="n">
        <f aca="false">ROUND(G78*H78,2)</f>
        <v>0</v>
      </c>
      <c r="L78" s="137" t="n">
        <v>0</v>
      </c>
      <c r="M78" s="137" t="n">
        <f aca="false">G78*L78</f>
        <v>0</v>
      </c>
      <c r="N78" s="138" t="s">
        <v>155</v>
      </c>
      <c r="Z78" s="88" t="n">
        <f aca="false">ROUND(IF(AQ78="5",BJ78,0),2)</f>
        <v>0</v>
      </c>
      <c r="AB78" s="88" t="n">
        <f aca="false">ROUND(IF(AQ78="1",BH78,0),2)</f>
        <v>0</v>
      </c>
      <c r="AC78" s="88" t="n">
        <f aca="false">ROUND(IF(AQ78="1",BI78,0),2)</f>
        <v>0</v>
      </c>
      <c r="AD78" s="88" t="n">
        <f aca="false">ROUND(IF(AQ78="7",BH78,0),2)</f>
        <v>0</v>
      </c>
      <c r="AE78" s="88" t="n">
        <f aca="false">ROUND(IF(AQ78="7",BI78,0),2)</f>
        <v>0</v>
      </c>
      <c r="AF78" s="88" t="n">
        <f aca="false">ROUND(IF(AQ78="2",BH78,0),2)</f>
        <v>0</v>
      </c>
      <c r="AG78" s="88" t="n">
        <f aca="false">ROUND(IF(AQ78="2",BI78,0),2)</f>
        <v>0</v>
      </c>
      <c r="AH78" s="88" t="n">
        <f aca="false">ROUND(IF(AQ78="0",BJ78,0),2)</f>
        <v>0</v>
      </c>
      <c r="AI78" s="116" t="s">
        <v>107</v>
      </c>
      <c r="AJ78" s="88" t="n">
        <f aca="false">IF(AN78=0,K78,0)</f>
        <v>0</v>
      </c>
      <c r="AK78" s="88" t="n">
        <f aca="false">IF(AN78=12,K78,0)</f>
        <v>0</v>
      </c>
      <c r="AL78" s="88" t="n">
        <f aca="false">IF(AN78=21,K78,0)</f>
        <v>0</v>
      </c>
      <c r="AN78" s="88" t="n">
        <v>21</v>
      </c>
      <c r="AO78" s="88" t="n">
        <f aca="false">H78*0</f>
        <v>0</v>
      </c>
      <c r="AP78" s="88" t="n">
        <f aca="false">H78*(1-0)</f>
        <v>0</v>
      </c>
      <c r="AQ78" s="87" t="s">
        <v>151</v>
      </c>
      <c r="AV78" s="88" t="n">
        <f aca="false">ROUND(AW78+AX78,2)</f>
        <v>0</v>
      </c>
      <c r="AW78" s="88" t="n">
        <f aca="false">ROUND(G78*AO78,2)</f>
        <v>0</v>
      </c>
      <c r="AX78" s="88" t="n">
        <f aca="false">ROUND(G78*AP78,2)</f>
        <v>0</v>
      </c>
      <c r="AY78" s="87" t="s">
        <v>351</v>
      </c>
      <c r="AZ78" s="87" t="s">
        <v>342</v>
      </c>
      <c r="BA78" s="116" t="s">
        <v>240</v>
      </c>
      <c r="BC78" s="88" t="n">
        <f aca="false">AW78+AX78</f>
        <v>0</v>
      </c>
      <c r="BD78" s="88" t="n">
        <f aca="false">H78/(100-BE78)*100</f>
        <v>0</v>
      </c>
      <c r="BE78" s="88" t="n">
        <v>0</v>
      </c>
      <c r="BF78" s="88" t="n">
        <f aca="false">M78</f>
        <v>0</v>
      </c>
      <c r="BH78" s="88" t="n">
        <f aca="false">G78*AO78</f>
        <v>0</v>
      </c>
      <c r="BI78" s="88" t="n">
        <f aca="false">G78*AP78</f>
        <v>0</v>
      </c>
      <c r="BJ78" s="88" t="n">
        <f aca="false">G78*H78</f>
        <v>0</v>
      </c>
      <c r="BK78" s="87" t="s">
        <v>159</v>
      </c>
      <c r="BL78" s="88" t="n">
        <v>91</v>
      </c>
      <c r="BW78" s="88" t="n">
        <v>21</v>
      </c>
      <c r="BX78" s="9" t="s">
        <v>354</v>
      </c>
    </row>
    <row r="79" customFormat="false" ht="15" hidden="false" customHeight="true" outlineLevel="0" collapsed="false">
      <c r="A79" s="139" t="s">
        <v>355</v>
      </c>
      <c r="B79" s="139" t="s">
        <v>107</v>
      </c>
      <c r="C79" s="139" t="s">
        <v>356</v>
      </c>
      <c r="D79" s="140" t="s">
        <v>357</v>
      </c>
      <c r="E79" s="140"/>
      <c r="F79" s="139" t="s">
        <v>179</v>
      </c>
      <c r="G79" s="141" t="n">
        <v>0.481</v>
      </c>
      <c r="H79" s="142"/>
      <c r="I79" s="142" t="n">
        <f aca="false">ROUND(G79*AO79,2)</f>
        <v>0</v>
      </c>
      <c r="J79" s="142" t="n">
        <f aca="false">ROUND(G79*AP79,2)</f>
        <v>0</v>
      </c>
      <c r="K79" s="142" t="n">
        <f aca="false">ROUND(G79*H79,2)</f>
        <v>0</v>
      </c>
      <c r="L79" s="142" t="n">
        <v>1</v>
      </c>
      <c r="M79" s="142" t="n">
        <f aca="false">G79*L79</f>
        <v>0.481</v>
      </c>
      <c r="N79" s="143" t="s">
        <v>155</v>
      </c>
      <c r="Z79" s="88" t="n">
        <f aca="false">ROUND(IF(AQ79="5",BJ79,0),2)</f>
        <v>0</v>
      </c>
      <c r="AB79" s="88" t="n">
        <f aca="false">ROUND(IF(AQ79="1",BH79,0),2)</f>
        <v>0</v>
      </c>
      <c r="AC79" s="88" t="n">
        <f aca="false">ROUND(IF(AQ79="1",BI79,0),2)</f>
        <v>0</v>
      </c>
      <c r="AD79" s="88" t="n">
        <f aca="false">ROUND(IF(AQ79="7",BH79,0),2)</f>
        <v>0</v>
      </c>
      <c r="AE79" s="88" t="n">
        <f aca="false">ROUND(IF(AQ79="7",BI79,0),2)</f>
        <v>0</v>
      </c>
      <c r="AF79" s="88" t="n">
        <f aca="false">ROUND(IF(AQ79="2",BH79,0),2)</f>
        <v>0</v>
      </c>
      <c r="AG79" s="88" t="n">
        <f aca="false">ROUND(IF(AQ79="2",BI79,0),2)</f>
        <v>0</v>
      </c>
      <c r="AH79" s="88" t="n">
        <f aca="false">ROUND(IF(AQ79="0",BJ79,0),2)</f>
        <v>0</v>
      </c>
      <c r="AI79" s="116" t="s">
        <v>107</v>
      </c>
      <c r="AJ79" s="144" t="n">
        <f aca="false">IF(AN79=0,K79,0)</f>
        <v>0</v>
      </c>
      <c r="AK79" s="144" t="n">
        <f aca="false">IF(AN79=12,K79,0)</f>
        <v>0</v>
      </c>
      <c r="AL79" s="144" t="n">
        <f aca="false">IF(AN79=21,K79,0)</f>
        <v>0</v>
      </c>
      <c r="AN79" s="88" t="n">
        <v>21</v>
      </c>
      <c r="AO79" s="88" t="n">
        <f aca="false">H79*1</f>
        <v>0</v>
      </c>
      <c r="AP79" s="88" t="n">
        <f aca="false">H79*(1-1)</f>
        <v>0</v>
      </c>
      <c r="AQ79" s="145" t="s">
        <v>151</v>
      </c>
      <c r="AV79" s="88" t="n">
        <f aca="false">ROUND(AW79+AX79,2)</f>
        <v>0</v>
      </c>
      <c r="AW79" s="88" t="n">
        <f aca="false">ROUND(G79*AO79,2)</f>
        <v>0</v>
      </c>
      <c r="AX79" s="88" t="n">
        <f aca="false">ROUND(G79*AP79,2)</f>
        <v>0</v>
      </c>
      <c r="AY79" s="87" t="s">
        <v>351</v>
      </c>
      <c r="AZ79" s="87" t="s">
        <v>342</v>
      </c>
      <c r="BA79" s="116" t="s">
        <v>240</v>
      </c>
      <c r="BC79" s="88" t="n">
        <f aca="false">AW79+AX79</f>
        <v>0</v>
      </c>
      <c r="BD79" s="88" t="n">
        <f aca="false">H79/(100-BE79)*100</f>
        <v>0</v>
      </c>
      <c r="BE79" s="88" t="n">
        <v>0</v>
      </c>
      <c r="BF79" s="88" t="n">
        <f aca="false">M79</f>
        <v>0.481</v>
      </c>
      <c r="BH79" s="144" t="n">
        <f aca="false">G79*AO79</f>
        <v>0</v>
      </c>
      <c r="BI79" s="144" t="n">
        <f aca="false">G79*AP79</f>
        <v>0</v>
      </c>
      <c r="BJ79" s="144" t="n">
        <f aca="false">G79*H79</f>
        <v>0</v>
      </c>
      <c r="BK79" s="145" t="s">
        <v>180</v>
      </c>
      <c r="BL79" s="88" t="n">
        <v>91</v>
      </c>
      <c r="BW79" s="88" t="n">
        <v>21</v>
      </c>
      <c r="BX79" s="146" t="s">
        <v>357</v>
      </c>
    </row>
    <row r="80" customFormat="false" ht="15" hidden="false" customHeight="true" outlineLevel="0" collapsed="false">
      <c r="A80" s="134" t="s">
        <v>358</v>
      </c>
      <c r="B80" s="134" t="s">
        <v>107</v>
      </c>
      <c r="C80" s="134" t="s">
        <v>359</v>
      </c>
      <c r="D80" s="135" t="s">
        <v>360</v>
      </c>
      <c r="E80" s="135"/>
      <c r="F80" s="134" t="s">
        <v>154</v>
      </c>
      <c r="G80" s="136" t="n">
        <v>13</v>
      </c>
      <c r="H80" s="137"/>
      <c r="I80" s="137" t="n">
        <f aca="false">ROUND(G80*AO80,2)</f>
        <v>0</v>
      </c>
      <c r="J80" s="137" t="n">
        <f aca="false">ROUND(G80*AP80,2)</f>
        <v>0</v>
      </c>
      <c r="K80" s="137" t="n">
        <f aca="false">ROUND(G80*H80,2)</f>
        <v>0</v>
      </c>
      <c r="L80" s="137" t="n">
        <v>0.07348</v>
      </c>
      <c r="M80" s="137" t="n">
        <f aca="false">G80*L80</f>
        <v>0.95524</v>
      </c>
      <c r="N80" s="138" t="s">
        <v>155</v>
      </c>
      <c r="Z80" s="88" t="n">
        <f aca="false">ROUND(IF(AQ80="5",BJ80,0),2)</f>
        <v>0</v>
      </c>
      <c r="AB80" s="88" t="n">
        <f aca="false">ROUND(IF(AQ80="1",BH80,0),2)</f>
        <v>0</v>
      </c>
      <c r="AC80" s="88" t="n">
        <f aca="false">ROUND(IF(AQ80="1",BI80,0),2)</f>
        <v>0</v>
      </c>
      <c r="AD80" s="88" t="n">
        <f aca="false">ROUND(IF(AQ80="7",BH80,0),2)</f>
        <v>0</v>
      </c>
      <c r="AE80" s="88" t="n">
        <f aca="false">ROUND(IF(AQ80="7",BI80,0),2)</f>
        <v>0</v>
      </c>
      <c r="AF80" s="88" t="n">
        <f aca="false">ROUND(IF(AQ80="2",BH80,0),2)</f>
        <v>0</v>
      </c>
      <c r="AG80" s="88" t="n">
        <f aca="false">ROUND(IF(AQ80="2",BI80,0),2)</f>
        <v>0</v>
      </c>
      <c r="AH80" s="88" t="n">
        <f aca="false">ROUND(IF(AQ80="0",BJ80,0),2)</f>
        <v>0</v>
      </c>
      <c r="AI80" s="116" t="s">
        <v>107</v>
      </c>
      <c r="AJ80" s="88" t="n">
        <f aca="false">IF(AN80=0,K80,0)</f>
        <v>0</v>
      </c>
      <c r="AK80" s="88" t="n">
        <f aca="false">IF(AN80=12,K80,0)</f>
        <v>0</v>
      </c>
      <c r="AL80" s="88" t="n">
        <f aca="false">IF(AN80=21,K80,0)</f>
        <v>0</v>
      </c>
      <c r="AN80" s="88" t="n">
        <v>21</v>
      </c>
      <c r="AO80" s="88" t="n">
        <f aca="false">H80*0.131805549</f>
        <v>0</v>
      </c>
      <c r="AP80" s="88" t="n">
        <f aca="false">H80*(1-0.131805549)</f>
        <v>0</v>
      </c>
      <c r="AQ80" s="87" t="s">
        <v>151</v>
      </c>
      <c r="AV80" s="88" t="n">
        <f aca="false">ROUND(AW80+AX80,2)</f>
        <v>0</v>
      </c>
      <c r="AW80" s="88" t="n">
        <f aca="false">ROUND(G80*AO80,2)</f>
        <v>0</v>
      </c>
      <c r="AX80" s="88" t="n">
        <f aca="false">ROUND(G80*AP80,2)</f>
        <v>0</v>
      </c>
      <c r="AY80" s="87" t="s">
        <v>351</v>
      </c>
      <c r="AZ80" s="87" t="s">
        <v>342</v>
      </c>
      <c r="BA80" s="116" t="s">
        <v>240</v>
      </c>
      <c r="BC80" s="88" t="n">
        <f aca="false">AW80+AX80</f>
        <v>0</v>
      </c>
      <c r="BD80" s="88" t="n">
        <f aca="false">H80/(100-BE80)*100</f>
        <v>0</v>
      </c>
      <c r="BE80" s="88" t="n">
        <v>0</v>
      </c>
      <c r="BF80" s="88" t="n">
        <f aca="false">M80</f>
        <v>0.95524</v>
      </c>
      <c r="BH80" s="88" t="n">
        <f aca="false">G80*AO80</f>
        <v>0</v>
      </c>
      <c r="BI80" s="88" t="n">
        <f aca="false">G80*AP80</f>
        <v>0</v>
      </c>
      <c r="BJ80" s="88" t="n">
        <f aca="false">G80*H80</f>
        <v>0</v>
      </c>
      <c r="BK80" s="87" t="s">
        <v>159</v>
      </c>
      <c r="BL80" s="88" t="n">
        <v>91</v>
      </c>
      <c r="BW80" s="88" t="n">
        <v>21</v>
      </c>
      <c r="BX80" s="9" t="s">
        <v>360</v>
      </c>
    </row>
    <row r="81" customFormat="false" ht="15" hidden="false" customHeight="true" outlineLevel="0" collapsed="false">
      <c r="A81" s="139" t="s">
        <v>274</v>
      </c>
      <c r="B81" s="139" t="s">
        <v>107</v>
      </c>
      <c r="C81" s="139" t="s">
        <v>361</v>
      </c>
      <c r="D81" s="140" t="s">
        <v>362</v>
      </c>
      <c r="E81" s="140"/>
      <c r="F81" s="139" t="s">
        <v>202</v>
      </c>
      <c r="G81" s="141" t="n">
        <v>13.13</v>
      </c>
      <c r="H81" s="142"/>
      <c r="I81" s="142" t="n">
        <f aca="false">ROUND(G81*AO81,2)</f>
        <v>0</v>
      </c>
      <c r="J81" s="142" t="n">
        <f aca="false">ROUND(G81*AP81,2)</f>
        <v>0</v>
      </c>
      <c r="K81" s="142" t="n">
        <f aca="false">ROUND(G81*H81,2)</f>
        <v>0</v>
      </c>
      <c r="L81" s="142" t="n">
        <v>0.0438</v>
      </c>
      <c r="M81" s="142" t="n">
        <f aca="false">G81*L81</f>
        <v>0.575094</v>
      </c>
      <c r="N81" s="143" t="s">
        <v>155</v>
      </c>
      <c r="Z81" s="88" t="n">
        <f aca="false">ROUND(IF(AQ81="5",BJ81,0),2)</f>
        <v>0</v>
      </c>
      <c r="AB81" s="88" t="n">
        <f aca="false">ROUND(IF(AQ81="1",BH81,0),2)</f>
        <v>0</v>
      </c>
      <c r="AC81" s="88" t="n">
        <f aca="false">ROUND(IF(AQ81="1",BI81,0),2)</f>
        <v>0</v>
      </c>
      <c r="AD81" s="88" t="n">
        <f aca="false">ROUND(IF(AQ81="7",BH81,0),2)</f>
        <v>0</v>
      </c>
      <c r="AE81" s="88" t="n">
        <f aca="false">ROUND(IF(AQ81="7",BI81,0),2)</f>
        <v>0</v>
      </c>
      <c r="AF81" s="88" t="n">
        <f aca="false">ROUND(IF(AQ81="2",BH81,0),2)</f>
        <v>0</v>
      </c>
      <c r="AG81" s="88" t="n">
        <f aca="false">ROUND(IF(AQ81="2",BI81,0),2)</f>
        <v>0</v>
      </c>
      <c r="AH81" s="88" t="n">
        <f aca="false">ROUND(IF(AQ81="0",BJ81,0),2)</f>
        <v>0</v>
      </c>
      <c r="AI81" s="116" t="s">
        <v>107</v>
      </c>
      <c r="AJ81" s="144" t="n">
        <f aca="false">IF(AN81=0,K81,0)</f>
        <v>0</v>
      </c>
      <c r="AK81" s="144" t="n">
        <f aca="false">IF(AN81=12,K81,0)</f>
        <v>0</v>
      </c>
      <c r="AL81" s="144" t="n">
        <f aca="false">IF(AN81=21,K81,0)</f>
        <v>0</v>
      </c>
      <c r="AN81" s="88" t="n">
        <v>21</v>
      </c>
      <c r="AO81" s="88" t="n">
        <f aca="false">H81*1</f>
        <v>0</v>
      </c>
      <c r="AP81" s="88" t="n">
        <f aca="false">H81*(1-1)</f>
        <v>0</v>
      </c>
      <c r="AQ81" s="145" t="s">
        <v>151</v>
      </c>
      <c r="AV81" s="88" t="n">
        <f aca="false">ROUND(AW81+AX81,2)</f>
        <v>0</v>
      </c>
      <c r="AW81" s="88" t="n">
        <f aca="false">ROUND(G81*AO81,2)</f>
        <v>0</v>
      </c>
      <c r="AX81" s="88" t="n">
        <f aca="false">ROUND(G81*AP81,2)</f>
        <v>0</v>
      </c>
      <c r="AY81" s="87" t="s">
        <v>351</v>
      </c>
      <c r="AZ81" s="87" t="s">
        <v>342</v>
      </c>
      <c r="BA81" s="116" t="s">
        <v>240</v>
      </c>
      <c r="BC81" s="88" t="n">
        <f aca="false">AW81+AX81</f>
        <v>0</v>
      </c>
      <c r="BD81" s="88" t="n">
        <f aca="false">H81/(100-BE81)*100</f>
        <v>0</v>
      </c>
      <c r="BE81" s="88" t="n">
        <v>0</v>
      </c>
      <c r="BF81" s="88" t="n">
        <f aca="false">M81</f>
        <v>0.575094</v>
      </c>
      <c r="BH81" s="144" t="n">
        <f aca="false">G81*AO81</f>
        <v>0</v>
      </c>
      <c r="BI81" s="144" t="n">
        <f aca="false">G81*AP81</f>
        <v>0</v>
      </c>
      <c r="BJ81" s="144" t="n">
        <f aca="false">G81*H81</f>
        <v>0</v>
      </c>
      <c r="BK81" s="145" t="s">
        <v>180</v>
      </c>
      <c r="BL81" s="88" t="n">
        <v>91</v>
      </c>
      <c r="BW81" s="88" t="n">
        <v>21</v>
      </c>
      <c r="BX81" s="146" t="s">
        <v>362</v>
      </c>
    </row>
    <row r="82" customFormat="false" ht="15" hidden="false" customHeight="true" outlineLevel="0" collapsed="false">
      <c r="A82" s="134" t="s">
        <v>363</v>
      </c>
      <c r="B82" s="134" t="s">
        <v>107</v>
      </c>
      <c r="C82" s="134" t="s">
        <v>318</v>
      </c>
      <c r="D82" s="135" t="s">
        <v>319</v>
      </c>
      <c r="E82" s="135"/>
      <c r="F82" s="134" t="s">
        <v>179</v>
      </c>
      <c r="G82" s="136" t="n">
        <v>3.587</v>
      </c>
      <c r="H82" s="137"/>
      <c r="I82" s="137" t="n">
        <f aca="false">ROUND(G82*AO82,2)</f>
        <v>0</v>
      </c>
      <c r="J82" s="137" t="n">
        <f aca="false">ROUND(G82*AP82,2)</f>
        <v>0</v>
      </c>
      <c r="K82" s="137" t="n">
        <f aca="false">ROUND(G82*H82,2)</f>
        <v>0</v>
      </c>
      <c r="L82" s="137" t="n">
        <v>0</v>
      </c>
      <c r="M82" s="137" t="n">
        <f aca="false">G82*L82</f>
        <v>0</v>
      </c>
      <c r="N82" s="138" t="s">
        <v>155</v>
      </c>
      <c r="Z82" s="88" t="n">
        <f aca="false">ROUND(IF(AQ82="5",BJ82,0),2)</f>
        <v>0</v>
      </c>
      <c r="AB82" s="88" t="n">
        <f aca="false">ROUND(IF(AQ82="1",BH82,0),2)</f>
        <v>0</v>
      </c>
      <c r="AC82" s="88" t="n">
        <f aca="false">ROUND(IF(AQ82="1",BI82,0),2)</f>
        <v>0</v>
      </c>
      <c r="AD82" s="88" t="n">
        <f aca="false">ROUND(IF(AQ82="7",BH82,0),2)</f>
        <v>0</v>
      </c>
      <c r="AE82" s="88" t="n">
        <f aca="false">ROUND(IF(AQ82="7",BI82,0),2)</f>
        <v>0</v>
      </c>
      <c r="AF82" s="88" t="n">
        <f aca="false">ROUND(IF(AQ82="2",BH82,0),2)</f>
        <v>0</v>
      </c>
      <c r="AG82" s="88" t="n">
        <f aca="false">ROUND(IF(AQ82="2",BI82,0),2)</f>
        <v>0</v>
      </c>
      <c r="AH82" s="88" t="n">
        <f aca="false">ROUND(IF(AQ82="0",BJ82,0),2)</f>
        <v>0</v>
      </c>
      <c r="AI82" s="116" t="s">
        <v>107</v>
      </c>
      <c r="AJ82" s="88" t="n">
        <f aca="false">IF(AN82=0,K82,0)</f>
        <v>0</v>
      </c>
      <c r="AK82" s="88" t="n">
        <f aca="false">IF(AN82=12,K82,0)</f>
        <v>0</v>
      </c>
      <c r="AL82" s="88" t="n">
        <f aca="false">IF(AN82=21,K82,0)</f>
        <v>0</v>
      </c>
      <c r="AN82" s="88" t="n">
        <v>21</v>
      </c>
      <c r="AO82" s="88" t="n">
        <f aca="false">H82*0</f>
        <v>0</v>
      </c>
      <c r="AP82" s="88" t="n">
        <f aca="false">H82*(1-0)</f>
        <v>0</v>
      </c>
      <c r="AQ82" s="87" t="s">
        <v>170</v>
      </c>
      <c r="AV82" s="88" t="n">
        <f aca="false">ROUND(AW82+AX82,2)</f>
        <v>0</v>
      </c>
      <c r="AW82" s="88" t="n">
        <f aca="false">ROUND(G82*AO82,2)</f>
        <v>0</v>
      </c>
      <c r="AX82" s="88" t="n">
        <f aca="false">ROUND(G82*AP82,2)</f>
        <v>0</v>
      </c>
      <c r="AY82" s="87" t="s">
        <v>351</v>
      </c>
      <c r="AZ82" s="87" t="s">
        <v>342</v>
      </c>
      <c r="BA82" s="116" t="s">
        <v>240</v>
      </c>
      <c r="BC82" s="88" t="n">
        <f aca="false">AW82+AX82</f>
        <v>0</v>
      </c>
      <c r="BD82" s="88" t="n">
        <f aca="false">H82/(100-BE82)*100</f>
        <v>0</v>
      </c>
      <c r="BE82" s="88" t="n">
        <v>0</v>
      </c>
      <c r="BF82" s="88" t="n">
        <f aca="false">M82</f>
        <v>0</v>
      </c>
      <c r="BH82" s="88" t="n">
        <f aca="false">G82*AO82</f>
        <v>0</v>
      </c>
      <c r="BI82" s="88" t="n">
        <f aca="false">G82*AP82</f>
        <v>0</v>
      </c>
      <c r="BJ82" s="88" t="n">
        <f aca="false">G82*H82</f>
        <v>0</v>
      </c>
      <c r="BK82" s="87" t="s">
        <v>159</v>
      </c>
      <c r="BL82" s="88" t="n">
        <v>91</v>
      </c>
      <c r="BW82" s="88" t="n">
        <v>21</v>
      </c>
      <c r="BX82" s="9" t="s">
        <v>319</v>
      </c>
    </row>
    <row r="83" customFormat="false" ht="19.85" hidden="false" customHeight="true" outlineLevel="0" collapsed="false">
      <c r="A83" s="92"/>
      <c r="B83" s="152" t="s">
        <v>109</v>
      </c>
      <c r="C83" s="152"/>
      <c r="D83" s="153" t="s">
        <v>110</v>
      </c>
      <c r="E83" s="153"/>
      <c r="F83" s="92" t="s">
        <v>97</v>
      </c>
      <c r="G83" s="154" t="s">
        <v>97</v>
      </c>
      <c r="H83" s="92"/>
      <c r="I83" s="155" t="n">
        <f aca="false">ROUND(SUM(I84,I91,I144),2)</f>
        <v>0</v>
      </c>
      <c r="J83" s="155" t="n">
        <f aca="false">ROUND(SUM(J84,J91,J144),2)</f>
        <v>0</v>
      </c>
      <c r="K83" s="155" t="n">
        <f aca="false">ROUND(SUM(K84,K91,K144),2)</f>
        <v>0</v>
      </c>
      <c r="L83" s="156"/>
      <c r="M83" s="155" t="n">
        <f aca="false">SUM(M84,M91,M144)</f>
        <v>6.911998</v>
      </c>
      <c r="N83" s="156"/>
    </row>
    <row r="84" customFormat="false" ht="15" hidden="false" customHeight="true" outlineLevel="0" collapsed="false">
      <c r="A84" s="128"/>
      <c r="B84" s="129" t="s">
        <v>109</v>
      </c>
      <c r="C84" s="129" t="s">
        <v>149</v>
      </c>
      <c r="D84" s="130" t="s">
        <v>150</v>
      </c>
      <c r="E84" s="130"/>
      <c r="F84" s="128" t="s">
        <v>97</v>
      </c>
      <c r="G84" s="131" t="s">
        <v>97</v>
      </c>
      <c r="H84" s="128"/>
      <c r="I84" s="132" t="n">
        <f aca="false">ROUND(SUM(I85:I90),2)</f>
        <v>0</v>
      </c>
      <c r="J84" s="132" t="n">
        <f aca="false">ROUND(SUM(J85:J90),2)</f>
        <v>0</v>
      </c>
      <c r="K84" s="132" t="n">
        <f aca="false">ROUND(SUM(K85:K90),2)</f>
        <v>0</v>
      </c>
      <c r="L84" s="133"/>
      <c r="M84" s="132" t="n">
        <f aca="false">SUM(M85:M90)</f>
        <v>0.005773</v>
      </c>
      <c r="N84" s="133"/>
      <c r="AI84" s="116" t="s">
        <v>109</v>
      </c>
      <c r="AS84" s="107" t="n">
        <f aca="false">SUM(AJ85:AJ90)</f>
        <v>0</v>
      </c>
      <c r="AT84" s="107" t="n">
        <f aca="false">SUM(AK85:AK90)</f>
        <v>0</v>
      </c>
      <c r="AU84" s="107" t="n">
        <f aca="false">SUM(AL85:AL90)</f>
        <v>0</v>
      </c>
    </row>
    <row r="85" customFormat="false" ht="23.85" hidden="false" customHeight="true" outlineLevel="0" collapsed="false">
      <c r="A85" s="134" t="s">
        <v>364</v>
      </c>
      <c r="B85" s="134" t="s">
        <v>109</v>
      </c>
      <c r="C85" s="134" t="s">
        <v>365</v>
      </c>
      <c r="D85" s="135" t="s">
        <v>366</v>
      </c>
      <c r="E85" s="135"/>
      <c r="F85" s="134" t="s">
        <v>169</v>
      </c>
      <c r="G85" s="136" t="n">
        <v>67.4</v>
      </c>
      <c r="H85" s="137"/>
      <c r="I85" s="137" t="n">
        <f aca="false">ROUND(G85*AO85,2)</f>
        <v>0</v>
      </c>
      <c r="J85" s="137" t="n">
        <f aca="false">ROUND(G85*AP85,2)</f>
        <v>0</v>
      </c>
      <c r="K85" s="137" t="n">
        <f aca="false">ROUND(G85*H85,2)</f>
        <v>0</v>
      </c>
      <c r="L85" s="137" t="n">
        <v>0</v>
      </c>
      <c r="M85" s="137" t="n">
        <f aca="false">G85*L85</f>
        <v>0</v>
      </c>
      <c r="N85" s="138" t="s">
        <v>155</v>
      </c>
      <c r="Z85" s="88" t="n">
        <f aca="false">ROUND(IF(AQ85="5",BJ85,0),2)</f>
        <v>0</v>
      </c>
      <c r="AB85" s="88" t="n">
        <f aca="false">ROUND(IF(AQ85="1",BH85,0),2)</f>
        <v>0</v>
      </c>
      <c r="AC85" s="88" t="n">
        <f aca="false">ROUND(IF(AQ85="1",BI85,0),2)</f>
        <v>0</v>
      </c>
      <c r="AD85" s="88" t="n">
        <f aca="false">ROUND(IF(AQ85="7",BH85,0),2)</f>
        <v>0</v>
      </c>
      <c r="AE85" s="88" t="n">
        <f aca="false">ROUND(IF(AQ85="7",BI85,0),2)</f>
        <v>0</v>
      </c>
      <c r="AF85" s="88" t="n">
        <f aca="false">ROUND(IF(AQ85="2",BH85,0),2)</f>
        <v>0</v>
      </c>
      <c r="AG85" s="88" t="n">
        <f aca="false">ROUND(IF(AQ85="2",BI85,0),2)</f>
        <v>0</v>
      </c>
      <c r="AH85" s="88" t="n">
        <f aca="false">ROUND(IF(AQ85="0",BJ85,0),2)</f>
        <v>0</v>
      </c>
      <c r="AI85" s="116" t="s">
        <v>109</v>
      </c>
      <c r="AJ85" s="88" t="n">
        <f aca="false">IF(AN85=0,K85,0)</f>
        <v>0</v>
      </c>
      <c r="AK85" s="88" t="n">
        <f aca="false">IF(AN85=12,K85,0)</f>
        <v>0</v>
      </c>
      <c r="AL85" s="88" t="n">
        <f aca="false">IF(AN85=21,K85,0)</f>
        <v>0</v>
      </c>
      <c r="AN85" s="88" t="n">
        <v>21</v>
      </c>
      <c r="AO85" s="88" t="n">
        <f aca="false">H85*0.007235952</f>
        <v>0</v>
      </c>
      <c r="AP85" s="88" t="n">
        <f aca="false">H85*(1-0.007235952)</f>
        <v>0</v>
      </c>
      <c r="AQ85" s="87" t="s">
        <v>151</v>
      </c>
      <c r="AV85" s="88" t="n">
        <f aca="false">ROUND(AW85+AX85,2)</f>
        <v>0</v>
      </c>
      <c r="AW85" s="88" t="n">
        <f aca="false">ROUND(G85*AO85,2)</f>
        <v>0</v>
      </c>
      <c r="AX85" s="88" t="n">
        <f aca="false">ROUND(G85*AP85,2)</f>
        <v>0</v>
      </c>
      <c r="AY85" s="87" t="s">
        <v>156</v>
      </c>
      <c r="AZ85" s="87" t="s">
        <v>367</v>
      </c>
      <c r="BA85" s="116" t="s">
        <v>368</v>
      </c>
      <c r="BC85" s="88" t="n">
        <f aca="false">AW85+AX85</f>
        <v>0</v>
      </c>
      <c r="BD85" s="88" t="n">
        <f aca="false">H85/(100-BE85)*100</f>
        <v>0</v>
      </c>
      <c r="BE85" s="88" t="n">
        <v>0</v>
      </c>
      <c r="BF85" s="88" t="n">
        <f aca="false">M85</f>
        <v>0</v>
      </c>
      <c r="BH85" s="88" t="n">
        <f aca="false">G85*AO85</f>
        <v>0</v>
      </c>
      <c r="BI85" s="88" t="n">
        <f aca="false">G85*AP85</f>
        <v>0</v>
      </c>
      <c r="BJ85" s="88" t="n">
        <f aca="false">G85*H85</f>
        <v>0</v>
      </c>
      <c r="BK85" s="87" t="s">
        <v>159</v>
      </c>
      <c r="BL85" s="88" t="n">
        <v>11</v>
      </c>
      <c r="BW85" s="88" t="n">
        <v>21</v>
      </c>
      <c r="BX85" s="9" t="s">
        <v>366</v>
      </c>
    </row>
    <row r="86" customFormat="false" ht="15" hidden="false" customHeight="true" outlineLevel="0" collapsed="false">
      <c r="A86" s="139" t="s">
        <v>369</v>
      </c>
      <c r="B86" s="139" t="s">
        <v>109</v>
      </c>
      <c r="C86" s="139" t="s">
        <v>370</v>
      </c>
      <c r="D86" s="140" t="s">
        <v>371</v>
      </c>
      <c r="E86" s="140"/>
      <c r="F86" s="139" t="s">
        <v>372</v>
      </c>
      <c r="G86" s="141" t="n">
        <v>0.044</v>
      </c>
      <c r="H86" s="142"/>
      <c r="I86" s="142" t="n">
        <f aca="false">ROUND(G86*AO86,2)</f>
        <v>0</v>
      </c>
      <c r="J86" s="142" t="n">
        <f aca="false">ROUND(G86*AP86,2)</f>
        <v>0</v>
      </c>
      <c r="K86" s="142" t="n">
        <f aca="false">ROUND(G86*H86,2)</f>
        <v>0</v>
      </c>
      <c r="L86" s="142" t="n">
        <v>0.001</v>
      </c>
      <c r="M86" s="142" t="n">
        <f aca="false">G86*L86</f>
        <v>4.4E-005</v>
      </c>
      <c r="N86" s="143" t="s">
        <v>155</v>
      </c>
      <c r="Z86" s="88" t="n">
        <f aca="false">ROUND(IF(AQ86="5",BJ86,0),2)</f>
        <v>0</v>
      </c>
      <c r="AB86" s="88" t="n">
        <f aca="false">ROUND(IF(AQ86="1",BH86,0),2)</f>
        <v>0</v>
      </c>
      <c r="AC86" s="88" t="n">
        <f aca="false">ROUND(IF(AQ86="1",BI86,0),2)</f>
        <v>0</v>
      </c>
      <c r="AD86" s="88" t="n">
        <f aca="false">ROUND(IF(AQ86="7",BH86,0),2)</f>
        <v>0</v>
      </c>
      <c r="AE86" s="88" t="n">
        <f aca="false">ROUND(IF(AQ86="7",BI86,0),2)</f>
        <v>0</v>
      </c>
      <c r="AF86" s="88" t="n">
        <f aca="false">ROUND(IF(AQ86="2",BH86,0),2)</f>
        <v>0</v>
      </c>
      <c r="AG86" s="88" t="n">
        <f aca="false">ROUND(IF(AQ86="2",BI86,0),2)</f>
        <v>0</v>
      </c>
      <c r="AH86" s="88" t="n">
        <f aca="false">ROUND(IF(AQ86="0",BJ86,0),2)</f>
        <v>0</v>
      </c>
      <c r="AI86" s="116" t="s">
        <v>109</v>
      </c>
      <c r="AJ86" s="144" t="n">
        <f aca="false">IF(AN86=0,K86,0)</f>
        <v>0</v>
      </c>
      <c r="AK86" s="144" t="n">
        <f aca="false">IF(AN86=12,K86,0)</f>
        <v>0</v>
      </c>
      <c r="AL86" s="144" t="n">
        <f aca="false">IF(AN86=21,K86,0)</f>
        <v>0</v>
      </c>
      <c r="AN86" s="88" t="n">
        <v>21</v>
      </c>
      <c r="AO86" s="88" t="n">
        <f aca="false">H86*1</f>
        <v>0</v>
      </c>
      <c r="AP86" s="88" t="n">
        <f aca="false">H86*(1-1)</f>
        <v>0</v>
      </c>
      <c r="AQ86" s="145" t="s">
        <v>151</v>
      </c>
      <c r="AV86" s="88" t="n">
        <f aca="false">ROUND(AW86+AX86,2)</f>
        <v>0</v>
      </c>
      <c r="AW86" s="88" t="n">
        <f aca="false">ROUND(G86*AO86,2)</f>
        <v>0</v>
      </c>
      <c r="AX86" s="88" t="n">
        <f aca="false">ROUND(G86*AP86,2)</f>
        <v>0</v>
      </c>
      <c r="AY86" s="87" t="s">
        <v>156</v>
      </c>
      <c r="AZ86" s="87" t="s">
        <v>367</v>
      </c>
      <c r="BA86" s="116" t="s">
        <v>368</v>
      </c>
      <c r="BC86" s="88" t="n">
        <f aca="false">AW86+AX86</f>
        <v>0</v>
      </c>
      <c r="BD86" s="88" t="n">
        <f aca="false">H86/(100-BE86)*100</f>
        <v>0</v>
      </c>
      <c r="BE86" s="88" t="n">
        <v>0</v>
      </c>
      <c r="BF86" s="88" t="n">
        <f aca="false">M86</f>
        <v>4.4E-005</v>
      </c>
      <c r="BH86" s="144" t="n">
        <f aca="false">G86*AO86</f>
        <v>0</v>
      </c>
      <c r="BI86" s="144" t="n">
        <f aca="false">G86*AP86</f>
        <v>0</v>
      </c>
      <c r="BJ86" s="144" t="n">
        <f aca="false">G86*H86</f>
        <v>0</v>
      </c>
      <c r="BK86" s="145" t="s">
        <v>180</v>
      </c>
      <c r="BL86" s="88" t="n">
        <v>11</v>
      </c>
      <c r="BW86" s="88" t="n">
        <v>21</v>
      </c>
      <c r="BX86" s="146" t="s">
        <v>371</v>
      </c>
    </row>
    <row r="87" customFormat="false" ht="23.85" hidden="false" customHeight="true" outlineLevel="0" collapsed="false">
      <c r="A87" s="134" t="s">
        <v>373</v>
      </c>
      <c r="B87" s="134" t="s">
        <v>109</v>
      </c>
      <c r="C87" s="134" t="s">
        <v>374</v>
      </c>
      <c r="D87" s="135" t="s">
        <v>375</v>
      </c>
      <c r="E87" s="135"/>
      <c r="F87" s="134" t="s">
        <v>169</v>
      </c>
      <c r="G87" s="136" t="n">
        <v>33.7</v>
      </c>
      <c r="H87" s="137"/>
      <c r="I87" s="137" t="n">
        <f aca="false">ROUND(G87*AO87,2)</f>
        <v>0</v>
      </c>
      <c r="J87" s="137" t="n">
        <f aca="false">ROUND(G87*AP87,2)</f>
        <v>0</v>
      </c>
      <c r="K87" s="137" t="n">
        <f aca="false">ROUND(G87*H87,2)</f>
        <v>0</v>
      </c>
      <c r="L87" s="137" t="n">
        <v>0</v>
      </c>
      <c r="M87" s="137" t="n">
        <f aca="false">G87*L87</f>
        <v>0</v>
      </c>
      <c r="N87" s="138" t="s">
        <v>155</v>
      </c>
      <c r="Z87" s="88" t="n">
        <f aca="false">ROUND(IF(AQ87="5",BJ87,0),2)</f>
        <v>0</v>
      </c>
      <c r="AB87" s="88" t="n">
        <f aca="false">ROUND(IF(AQ87="1",BH87,0),2)</f>
        <v>0</v>
      </c>
      <c r="AC87" s="88" t="n">
        <f aca="false">ROUND(IF(AQ87="1",BI87,0),2)</f>
        <v>0</v>
      </c>
      <c r="AD87" s="88" t="n">
        <f aca="false">ROUND(IF(AQ87="7",BH87,0),2)</f>
        <v>0</v>
      </c>
      <c r="AE87" s="88" t="n">
        <f aca="false">ROUND(IF(AQ87="7",BI87,0),2)</f>
        <v>0</v>
      </c>
      <c r="AF87" s="88" t="n">
        <f aca="false">ROUND(IF(AQ87="2",BH87,0),2)</f>
        <v>0</v>
      </c>
      <c r="AG87" s="88" t="n">
        <f aca="false">ROUND(IF(AQ87="2",BI87,0),2)</f>
        <v>0</v>
      </c>
      <c r="AH87" s="88" t="n">
        <f aca="false">ROUND(IF(AQ87="0",BJ87,0),2)</f>
        <v>0</v>
      </c>
      <c r="AI87" s="116" t="s">
        <v>109</v>
      </c>
      <c r="AJ87" s="88" t="n">
        <f aca="false">IF(AN87=0,K87,0)</f>
        <v>0</v>
      </c>
      <c r="AK87" s="88" t="n">
        <f aca="false">IF(AN87=12,K87,0)</f>
        <v>0</v>
      </c>
      <c r="AL87" s="88" t="n">
        <f aca="false">IF(AN87=21,K87,0)</f>
        <v>0</v>
      </c>
      <c r="AN87" s="88" t="n">
        <v>21</v>
      </c>
      <c r="AO87" s="88" t="n">
        <f aca="false">H87*0</f>
        <v>0</v>
      </c>
      <c r="AP87" s="88" t="n">
        <f aca="false">H87*(1-0)</f>
        <v>0</v>
      </c>
      <c r="AQ87" s="87" t="s">
        <v>151</v>
      </c>
      <c r="AV87" s="88" t="n">
        <f aca="false">ROUND(AW87+AX87,2)</f>
        <v>0</v>
      </c>
      <c r="AW87" s="88" t="n">
        <f aca="false">ROUND(G87*AO87,2)</f>
        <v>0</v>
      </c>
      <c r="AX87" s="88" t="n">
        <f aca="false">ROUND(G87*AP87,2)</f>
        <v>0</v>
      </c>
      <c r="AY87" s="87" t="s">
        <v>156</v>
      </c>
      <c r="AZ87" s="87" t="s">
        <v>367</v>
      </c>
      <c r="BA87" s="116" t="s">
        <v>368</v>
      </c>
      <c r="BC87" s="88" t="n">
        <f aca="false">AW87+AX87</f>
        <v>0</v>
      </c>
      <c r="BD87" s="88" t="n">
        <f aca="false">H87/(100-BE87)*100</f>
        <v>0</v>
      </c>
      <c r="BE87" s="88" t="n">
        <v>0</v>
      </c>
      <c r="BF87" s="88" t="n">
        <f aca="false">M87</f>
        <v>0</v>
      </c>
      <c r="BH87" s="88" t="n">
        <f aca="false">G87*AO87</f>
        <v>0</v>
      </c>
      <c r="BI87" s="88" t="n">
        <f aca="false">G87*AP87</f>
        <v>0</v>
      </c>
      <c r="BJ87" s="88" t="n">
        <f aca="false">G87*H87</f>
        <v>0</v>
      </c>
      <c r="BK87" s="87" t="s">
        <v>159</v>
      </c>
      <c r="BL87" s="88" t="n">
        <v>11</v>
      </c>
      <c r="BW87" s="88" t="n">
        <v>21</v>
      </c>
      <c r="BX87" s="9" t="s">
        <v>375</v>
      </c>
    </row>
    <row r="88" customFormat="false" ht="15" hidden="false" customHeight="true" outlineLevel="0" collapsed="false">
      <c r="A88" s="134" t="s">
        <v>376</v>
      </c>
      <c r="B88" s="134" t="s">
        <v>109</v>
      </c>
      <c r="C88" s="134" t="s">
        <v>377</v>
      </c>
      <c r="D88" s="135" t="s">
        <v>378</v>
      </c>
      <c r="E88" s="135"/>
      <c r="F88" s="134" t="s">
        <v>169</v>
      </c>
      <c r="G88" s="136" t="n">
        <v>33.7</v>
      </c>
      <c r="H88" s="137"/>
      <c r="I88" s="137" t="n">
        <f aca="false">ROUND(G88*AO88,2)</f>
        <v>0</v>
      </c>
      <c r="J88" s="137" t="n">
        <f aca="false">ROUND(G88*AP88,2)</f>
        <v>0</v>
      </c>
      <c r="K88" s="137" t="n">
        <f aca="false">ROUND(G88*H88,2)</f>
        <v>0</v>
      </c>
      <c r="L88" s="137" t="n">
        <v>0.00017</v>
      </c>
      <c r="M88" s="137" t="n">
        <f aca="false">G88*L88</f>
        <v>0.005729</v>
      </c>
      <c r="N88" s="138" t="s">
        <v>155</v>
      </c>
      <c r="Z88" s="88" t="n">
        <f aca="false">ROUND(IF(AQ88="5",BJ88,0),2)</f>
        <v>0</v>
      </c>
      <c r="AB88" s="88" t="n">
        <f aca="false">ROUND(IF(AQ88="1",BH88,0),2)</f>
        <v>0</v>
      </c>
      <c r="AC88" s="88" t="n">
        <f aca="false">ROUND(IF(AQ88="1",BI88,0),2)</f>
        <v>0</v>
      </c>
      <c r="AD88" s="88" t="n">
        <f aca="false">ROUND(IF(AQ88="7",BH88,0),2)</f>
        <v>0</v>
      </c>
      <c r="AE88" s="88" t="n">
        <f aca="false">ROUND(IF(AQ88="7",BI88,0),2)</f>
        <v>0</v>
      </c>
      <c r="AF88" s="88" t="n">
        <f aca="false">ROUND(IF(AQ88="2",BH88,0),2)</f>
        <v>0</v>
      </c>
      <c r="AG88" s="88" t="n">
        <f aca="false">ROUND(IF(AQ88="2",BI88,0),2)</f>
        <v>0</v>
      </c>
      <c r="AH88" s="88" t="n">
        <f aca="false">ROUND(IF(AQ88="0",BJ88,0),2)</f>
        <v>0</v>
      </c>
      <c r="AI88" s="116" t="s">
        <v>109</v>
      </c>
      <c r="AJ88" s="88" t="n">
        <f aca="false">IF(AN88=0,K88,0)</f>
        <v>0</v>
      </c>
      <c r="AK88" s="88" t="n">
        <f aca="false">IF(AN88=12,K88,0)</f>
        <v>0</v>
      </c>
      <c r="AL88" s="88" t="n">
        <f aca="false">IF(AN88=21,K88,0)</f>
        <v>0</v>
      </c>
      <c r="AN88" s="88" t="n">
        <v>21</v>
      </c>
      <c r="AO88" s="88" t="n">
        <f aca="false">H88*0.146153846</f>
        <v>0</v>
      </c>
      <c r="AP88" s="88" t="n">
        <f aca="false">H88*(1-0.146153846)</f>
        <v>0</v>
      </c>
      <c r="AQ88" s="87" t="s">
        <v>151</v>
      </c>
      <c r="AV88" s="88" t="n">
        <f aca="false">ROUND(AW88+AX88,2)</f>
        <v>0</v>
      </c>
      <c r="AW88" s="88" t="n">
        <f aca="false">ROUND(G88*AO88,2)</f>
        <v>0</v>
      </c>
      <c r="AX88" s="88" t="n">
        <f aca="false">ROUND(G88*AP88,2)</f>
        <v>0</v>
      </c>
      <c r="AY88" s="87" t="s">
        <v>156</v>
      </c>
      <c r="AZ88" s="87" t="s">
        <v>367</v>
      </c>
      <c r="BA88" s="116" t="s">
        <v>368</v>
      </c>
      <c r="BC88" s="88" t="n">
        <f aca="false">AW88+AX88</f>
        <v>0</v>
      </c>
      <c r="BD88" s="88" t="n">
        <f aca="false">H88/(100-BE88)*100</f>
        <v>0</v>
      </c>
      <c r="BE88" s="88" t="n">
        <v>0</v>
      </c>
      <c r="BF88" s="88" t="n">
        <f aca="false">M88</f>
        <v>0.005729</v>
      </c>
      <c r="BH88" s="88" t="n">
        <f aca="false">G88*AO88</f>
        <v>0</v>
      </c>
      <c r="BI88" s="88" t="n">
        <f aca="false">G88*AP88</f>
        <v>0</v>
      </c>
      <c r="BJ88" s="88" t="n">
        <f aca="false">G88*H88</f>
        <v>0</v>
      </c>
      <c r="BK88" s="87" t="s">
        <v>159</v>
      </c>
      <c r="BL88" s="88" t="n">
        <v>11</v>
      </c>
      <c r="BW88" s="88" t="n">
        <v>21</v>
      </c>
      <c r="BX88" s="9" t="s">
        <v>378</v>
      </c>
    </row>
    <row r="89" customFormat="false" ht="23.85" hidden="false" customHeight="true" outlineLevel="0" collapsed="false">
      <c r="A89" s="134" t="s">
        <v>379</v>
      </c>
      <c r="B89" s="134" t="s">
        <v>109</v>
      </c>
      <c r="C89" s="134" t="s">
        <v>380</v>
      </c>
      <c r="D89" s="135" t="s">
        <v>381</v>
      </c>
      <c r="E89" s="135"/>
      <c r="F89" s="134" t="s">
        <v>169</v>
      </c>
      <c r="G89" s="136" t="n">
        <v>33.7</v>
      </c>
      <c r="H89" s="137"/>
      <c r="I89" s="137" t="n">
        <f aca="false">ROUND(G89*AO89,2)</f>
        <v>0</v>
      </c>
      <c r="J89" s="137" t="n">
        <f aca="false">ROUND(G89*AP89,2)</f>
        <v>0</v>
      </c>
      <c r="K89" s="137" t="n">
        <f aca="false">ROUND(G89*H89,2)</f>
        <v>0</v>
      </c>
      <c r="L89" s="137" t="n">
        <v>0</v>
      </c>
      <c r="M89" s="137" t="n">
        <f aca="false">G89*L89</f>
        <v>0</v>
      </c>
      <c r="N89" s="138" t="s">
        <v>155</v>
      </c>
      <c r="Z89" s="88" t="n">
        <f aca="false">ROUND(IF(AQ89="5",BJ89,0),2)</f>
        <v>0</v>
      </c>
      <c r="AB89" s="88" t="n">
        <f aca="false">ROUND(IF(AQ89="1",BH89,0),2)</f>
        <v>0</v>
      </c>
      <c r="AC89" s="88" t="n">
        <f aca="false">ROUND(IF(AQ89="1",BI89,0),2)</f>
        <v>0</v>
      </c>
      <c r="AD89" s="88" t="n">
        <f aca="false">ROUND(IF(AQ89="7",BH89,0),2)</f>
        <v>0</v>
      </c>
      <c r="AE89" s="88" t="n">
        <f aca="false">ROUND(IF(AQ89="7",BI89,0),2)</f>
        <v>0</v>
      </c>
      <c r="AF89" s="88" t="n">
        <f aca="false">ROUND(IF(AQ89="2",BH89,0),2)</f>
        <v>0</v>
      </c>
      <c r="AG89" s="88" t="n">
        <f aca="false">ROUND(IF(AQ89="2",BI89,0),2)</f>
        <v>0</v>
      </c>
      <c r="AH89" s="88" t="n">
        <f aca="false">ROUND(IF(AQ89="0",BJ89,0),2)</f>
        <v>0</v>
      </c>
      <c r="AI89" s="116" t="s">
        <v>109</v>
      </c>
      <c r="AJ89" s="88" t="n">
        <f aca="false">IF(AN89=0,K89,0)</f>
        <v>0</v>
      </c>
      <c r="AK89" s="88" t="n">
        <f aca="false">IF(AN89=12,K89,0)</f>
        <v>0</v>
      </c>
      <c r="AL89" s="88" t="n">
        <f aca="false">IF(AN89=21,K89,0)</f>
        <v>0</v>
      </c>
      <c r="AN89" s="88" t="n">
        <v>21</v>
      </c>
      <c r="AO89" s="88" t="n">
        <f aca="false">H89*0</f>
        <v>0</v>
      </c>
      <c r="AP89" s="88" t="n">
        <f aca="false">H89*(1-0)</f>
        <v>0</v>
      </c>
      <c r="AQ89" s="87" t="s">
        <v>151</v>
      </c>
      <c r="AV89" s="88" t="n">
        <f aca="false">ROUND(AW89+AX89,2)</f>
        <v>0</v>
      </c>
      <c r="AW89" s="88" t="n">
        <f aca="false">ROUND(G89*AO89,2)</f>
        <v>0</v>
      </c>
      <c r="AX89" s="88" t="n">
        <f aca="false">ROUND(G89*AP89,2)</f>
        <v>0</v>
      </c>
      <c r="AY89" s="87" t="s">
        <v>156</v>
      </c>
      <c r="AZ89" s="87" t="s">
        <v>367</v>
      </c>
      <c r="BA89" s="116" t="s">
        <v>368</v>
      </c>
      <c r="BC89" s="88" t="n">
        <f aca="false">AW89+AX89</f>
        <v>0</v>
      </c>
      <c r="BD89" s="88" t="n">
        <f aca="false">H89/(100-BE89)*100</f>
        <v>0</v>
      </c>
      <c r="BE89" s="88" t="n">
        <v>0</v>
      </c>
      <c r="BF89" s="88" t="n">
        <f aca="false">M89</f>
        <v>0</v>
      </c>
      <c r="BH89" s="88" t="n">
        <f aca="false">G89*AO89</f>
        <v>0</v>
      </c>
      <c r="BI89" s="88" t="n">
        <f aca="false">G89*AP89</f>
        <v>0</v>
      </c>
      <c r="BJ89" s="88" t="n">
        <f aca="false">G89*H89</f>
        <v>0</v>
      </c>
      <c r="BK89" s="87" t="s">
        <v>159</v>
      </c>
      <c r="BL89" s="88" t="n">
        <v>11</v>
      </c>
      <c r="BW89" s="88" t="n">
        <v>21</v>
      </c>
      <c r="BX89" s="9" t="s">
        <v>381</v>
      </c>
    </row>
    <row r="90" customFormat="false" ht="15" hidden="false" customHeight="true" outlineLevel="0" collapsed="false">
      <c r="A90" s="134" t="s">
        <v>382</v>
      </c>
      <c r="B90" s="134" t="s">
        <v>109</v>
      </c>
      <c r="C90" s="134" t="s">
        <v>383</v>
      </c>
      <c r="D90" s="135" t="s">
        <v>384</v>
      </c>
      <c r="E90" s="135"/>
      <c r="F90" s="134" t="s">
        <v>169</v>
      </c>
      <c r="G90" s="136" t="n">
        <v>33.7</v>
      </c>
      <c r="H90" s="137"/>
      <c r="I90" s="137" t="n">
        <f aca="false">ROUND(G90*AO90,2)</f>
        <v>0</v>
      </c>
      <c r="J90" s="137" t="n">
        <f aca="false">ROUND(G90*AP90,2)</f>
        <v>0</v>
      </c>
      <c r="K90" s="137" t="n">
        <f aca="false">ROUND(G90*H90,2)</f>
        <v>0</v>
      </c>
      <c r="L90" s="137" t="n">
        <v>0</v>
      </c>
      <c r="M90" s="137" t="n">
        <f aca="false">G90*L90</f>
        <v>0</v>
      </c>
      <c r="N90" s="138" t="s">
        <v>155</v>
      </c>
      <c r="Z90" s="88" t="n">
        <f aca="false">ROUND(IF(AQ90="5",BJ90,0),2)</f>
        <v>0</v>
      </c>
      <c r="AB90" s="88" t="n">
        <f aca="false">ROUND(IF(AQ90="1",BH90,0),2)</f>
        <v>0</v>
      </c>
      <c r="AC90" s="88" t="n">
        <f aca="false">ROUND(IF(AQ90="1",BI90,0),2)</f>
        <v>0</v>
      </c>
      <c r="AD90" s="88" t="n">
        <f aca="false">ROUND(IF(AQ90="7",BH90,0),2)</f>
        <v>0</v>
      </c>
      <c r="AE90" s="88" t="n">
        <f aca="false">ROUND(IF(AQ90="7",BI90,0),2)</f>
        <v>0</v>
      </c>
      <c r="AF90" s="88" t="n">
        <f aca="false">ROUND(IF(AQ90="2",BH90,0),2)</f>
        <v>0</v>
      </c>
      <c r="AG90" s="88" t="n">
        <f aca="false">ROUND(IF(AQ90="2",BI90,0),2)</f>
        <v>0</v>
      </c>
      <c r="AH90" s="88" t="n">
        <f aca="false">ROUND(IF(AQ90="0",BJ90,0),2)</f>
        <v>0</v>
      </c>
      <c r="AI90" s="116" t="s">
        <v>109</v>
      </c>
      <c r="AJ90" s="88" t="n">
        <f aca="false">IF(AN90=0,K90,0)</f>
        <v>0</v>
      </c>
      <c r="AK90" s="88" t="n">
        <f aca="false">IF(AN90=12,K90,0)</f>
        <v>0</v>
      </c>
      <c r="AL90" s="88" t="n">
        <f aca="false">IF(AN90=21,K90,0)</f>
        <v>0</v>
      </c>
      <c r="AN90" s="88" t="n">
        <v>21</v>
      </c>
      <c r="AO90" s="88" t="n">
        <f aca="false">H90*0</f>
        <v>0</v>
      </c>
      <c r="AP90" s="88" t="n">
        <f aca="false">H90*(1-0)</f>
        <v>0</v>
      </c>
      <c r="AQ90" s="87" t="s">
        <v>151</v>
      </c>
      <c r="AV90" s="88" t="n">
        <f aca="false">ROUND(AW90+AX90,2)</f>
        <v>0</v>
      </c>
      <c r="AW90" s="88" t="n">
        <f aca="false">ROUND(G90*AO90,2)</f>
        <v>0</v>
      </c>
      <c r="AX90" s="88" t="n">
        <f aca="false">ROUND(G90*AP90,2)</f>
        <v>0</v>
      </c>
      <c r="AY90" s="87" t="s">
        <v>156</v>
      </c>
      <c r="AZ90" s="87" t="s">
        <v>367</v>
      </c>
      <c r="BA90" s="116" t="s">
        <v>368</v>
      </c>
      <c r="BC90" s="88" t="n">
        <f aca="false">AW90+AX90</f>
        <v>0</v>
      </c>
      <c r="BD90" s="88" t="n">
        <f aca="false">H90/(100-BE90)*100</f>
        <v>0</v>
      </c>
      <c r="BE90" s="88" t="n">
        <v>0</v>
      </c>
      <c r="BF90" s="88" t="n">
        <f aca="false">M90</f>
        <v>0</v>
      </c>
      <c r="BH90" s="88" t="n">
        <f aca="false">G90*AO90</f>
        <v>0</v>
      </c>
      <c r="BI90" s="88" t="n">
        <f aca="false">G90*AP90</f>
        <v>0</v>
      </c>
      <c r="BJ90" s="88" t="n">
        <f aca="false">G90*H90</f>
        <v>0</v>
      </c>
      <c r="BK90" s="87" t="s">
        <v>159</v>
      </c>
      <c r="BL90" s="88" t="n">
        <v>11</v>
      </c>
      <c r="BW90" s="88" t="n">
        <v>21</v>
      </c>
      <c r="BX90" s="9" t="s">
        <v>384</v>
      </c>
    </row>
    <row r="91" customFormat="false" ht="15" hidden="false" customHeight="true" outlineLevel="0" collapsed="false">
      <c r="A91" s="128"/>
      <c r="B91" s="129" t="s">
        <v>109</v>
      </c>
      <c r="C91" s="129" t="s">
        <v>222</v>
      </c>
      <c r="D91" s="130" t="s">
        <v>385</v>
      </c>
      <c r="E91" s="130"/>
      <c r="F91" s="128" t="s">
        <v>97</v>
      </c>
      <c r="G91" s="131" t="s">
        <v>97</v>
      </c>
      <c r="H91" s="128"/>
      <c r="I91" s="132" t="n">
        <f aca="false">ROUND(SUM(I92:I143),2)</f>
        <v>0</v>
      </c>
      <c r="J91" s="132" t="n">
        <f aca="false">ROUND(SUM(J92:J143),2)</f>
        <v>0</v>
      </c>
      <c r="K91" s="132" t="n">
        <f aca="false">ROUND(SUM(K92:K143),2)</f>
        <v>0</v>
      </c>
      <c r="L91" s="133"/>
      <c r="M91" s="132" t="n">
        <f aca="false">SUM(M92:M143)</f>
        <v>6.906225</v>
      </c>
      <c r="N91" s="133"/>
      <c r="AI91" s="116" t="s">
        <v>109</v>
      </c>
      <c r="AS91" s="107" t="n">
        <f aca="false">SUM(AJ92:AJ143)</f>
        <v>0</v>
      </c>
      <c r="AT91" s="107" t="n">
        <f aca="false">SUM(AK92:AK143)</f>
        <v>0</v>
      </c>
      <c r="AU91" s="107" t="n">
        <f aca="false">SUM(AL92:AL143)</f>
        <v>0</v>
      </c>
    </row>
    <row r="92" customFormat="false" ht="15" hidden="false" customHeight="true" outlineLevel="0" collapsed="false">
      <c r="A92" s="134" t="s">
        <v>386</v>
      </c>
      <c r="B92" s="134" t="s">
        <v>109</v>
      </c>
      <c r="C92" s="134" t="s">
        <v>387</v>
      </c>
      <c r="D92" s="135" t="s">
        <v>388</v>
      </c>
      <c r="E92" s="135"/>
      <c r="F92" s="134" t="s">
        <v>202</v>
      </c>
      <c r="G92" s="136" t="n">
        <v>193</v>
      </c>
      <c r="H92" s="137"/>
      <c r="I92" s="137" t="n">
        <f aca="false">ROUND(G92*AO92,2)</f>
        <v>0</v>
      </c>
      <c r="J92" s="137" t="n">
        <f aca="false">ROUND(G92*AP92,2)</f>
        <v>0</v>
      </c>
      <c r="K92" s="137" t="n">
        <f aca="false">ROUND(G92*H92,2)</f>
        <v>0</v>
      </c>
      <c r="L92" s="137" t="n">
        <v>0</v>
      </c>
      <c r="M92" s="137" t="n">
        <f aca="false">G92*L92</f>
        <v>0</v>
      </c>
      <c r="N92" s="138" t="s">
        <v>155</v>
      </c>
      <c r="Z92" s="88" t="n">
        <f aca="false">ROUND(IF(AQ92="5",BJ92,0),2)</f>
        <v>0</v>
      </c>
      <c r="AB92" s="88" t="n">
        <f aca="false">ROUND(IF(AQ92="1",BH92,0),2)</f>
        <v>0</v>
      </c>
      <c r="AC92" s="88" t="n">
        <f aca="false">ROUND(IF(AQ92="1",BI92,0),2)</f>
        <v>0</v>
      </c>
      <c r="AD92" s="88" t="n">
        <f aca="false">ROUND(IF(AQ92="7",BH92,0),2)</f>
        <v>0</v>
      </c>
      <c r="AE92" s="88" t="n">
        <f aca="false">ROUND(IF(AQ92="7",BI92,0),2)</f>
        <v>0</v>
      </c>
      <c r="AF92" s="88" t="n">
        <f aca="false">ROUND(IF(AQ92="2",BH92,0),2)</f>
        <v>0</v>
      </c>
      <c r="AG92" s="88" t="n">
        <f aca="false">ROUND(IF(AQ92="2",BI92,0),2)</f>
        <v>0</v>
      </c>
      <c r="AH92" s="88" t="n">
        <f aca="false">ROUND(IF(AQ92="0",BJ92,0),2)</f>
        <v>0</v>
      </c>
      <c r="AI92" s="116" t="s">
        <v>109</v>
      </c>
      <c r="AJ92" s="88" t="n">
        <f aca="false">IF(AN92=0,K92,0)</f>
        <v>0</v>
      </c>
      <c r="AK92" s="88" t="n">
        <f aca="false">IF(AN92=12,K92,0)</f>
        <v>0</v>
      </c>
      <c r="AL92" s="88" t="n">
        <f aca="false">IF(AN92=21,K92,0)</f>
        <v>0</v>
      </c>
      <c r="AN92" s="88" t="n">
        <v>21</v>
      </c>
      <c r="AO92" s="88" t="n">
        <f aca="false">H92*0.007952286</f>
        <v>0</v>
      </c>
      <c r="AP92" s="88" t="n">
        <f aca="false">H92*(1-0.007952286)</f>
        <v>0</v>
      </c>
      <c r="AQ92" s="87" t="s">
        <v>151</v>
      </c>
      <c r="AV92" s="88" t="n">
        <f aca="false">ROUND(AW92+AX92,2)</f>
        <v>0</v>
      </c>
      <c r="AW92" s="88" t="n">
        <f aca="false">ROUND(G92*AO92,2)</f>
        <v>0</v>
      </c>
      <c r="AX92" s="88" t="n">
        <f aca="false">ROUND(G92*AP92,2)</f>
        <v>0</v>
      </c>
      <c r="AY92" s="87" t="s">
        <v>389</v>
      </c>
      <c r="AZ92" s="87" t="s">
        <v>367</v>
      </c>
      <c r="BA92" s="116" t="s">
        <v>368</v>
      </c>
      <c r="BC92" s="88" t="n">
        <f aca="false">AW92+AX92</f>
        <v>0</v>
      </c>
      <c r="BD92" s="88" t="n">
        <f aca="false">H92/(100-BE92)*100</f>
        <v>0</v>
      </c>
      <c r="BE92" s="88" t="n">
        <v>0</v>
      </c>
      <c r="BF92" s="88" t="n">
        <f aca="false">M92</f>
        <v>0</v>
      </c>
      <c r="BH92" s="88" t="n">
        <f aca="false">G92*AO92</f>
        <v>0</v>
      </c>
      <c r="BI92" s="88" t="n">
        <f aca="false">G92*AP92</f>
        <v>0</v>
      </c>
      <c r="BJ92" s="88" t="n">
        <f aca="false">G92*H92</f>
        <v>0</v>
      </c>
      <c r="BK92" s="87" t="s">
        <v>159</v>
      </c>
      <c r="BL92" s="88" t="n">
        <v>18</v>
      </c>
      <c r="BW92" s="88" t="n">
        <v>21</v>
      </c>
      <c r="BX92" s="9" t="s">
        <v>388</v>
      </c>
    </row>
    <row r="93" customFormat="false" ht="15" hidden="false" customHeight="true" outlineLevel="0" collapsed="false">
      <c r="A93" s="134" t="s">
        <v>390</v>
      </c>
      <c r="B93" s="134" t="s">
        <v>109</v>
      </c>
      <c r="C93" s="134" t="s">
        <v>391</v>
      </c>
      <c r="D93" s="135" t="s">
        <v>392</v>
      </c>
      <c r="E93" s="135"/>
      <c r="F93" s="134" t="s">
        <v>202</v>
      </c>
      <c r="G93" s="136" t="n">
        <v>193</v>
      </c>
      <c r="H93" s="137"/>
      <c r="I93" s="137" t="n">
        <f aca="false">ROUND(G93*AO93,2)</f>
        <v>0</v>
      </c>
      <c r="J93" s="137" t="n">
        <f aca="false">ROUND(G93*AP93,2)</f>
        <v>0</v>
      </c>
      <c r="K93" s="137" t="n">
        <f aca="false">ROUND(G93*H93,2)</f>
        <v>0</v>
      </c>
      <c r="L93" s="137" t="n">
        <v>0</v>
      </c>
      <c r="M93" s="137" t="n">
        <f aca="false">G93*L93</f>
        <v>0</v>
      </c>
      <c r="N93" s="138" t="s">
        <v>155</v>
      </c>
      <c r="Z93" s="88" t="n">
        <f aca="false">ROUND(IF(AQ93="5",BJ93,0),2)</f>
        <v>0</v>
      </c>
      <c r="AB93" s="88" t="n">
        <f aca="false">ROUND(IF(AQ93="1",BH93,0),2)</f>
        <v>0</v>
      </c>
      <c r="AC93" s="88" t="n">
        <f aca="false">ROUND(IF(AQ93="1",BI93,0),2)</f>
        <v>0</v>
      </c>
      <c r="AD93" s="88" t="n">
        <f aca="false">ROUND(IF(AQ93="7",BH93,0),2)</f>
        <v>0</v>
      </c>
      <c r="AE93" s="88" t="n">
        <f aca="false">ROUND(IF(AQ93="7",BI93,0),2)</f>
        <v>0</v>
      </c>
      <c r="AF93" s="88" t="n">
        <f aca="false">ROUND(IF(AQ93="2",BH93,0),2)</f>
        <v>0</v>
      </c>
      <c r="AG93" s="88" t="n">
        <f aca="false">ROUND(IF(AQ93="2",BI93,0),2)</f>
        <v>0</v>
      </c>
      <c r="AH93" s="88" t="n">
        <f aca="false">ROUND(IF(AQ93="0",BJ93,0),2)</f>
        <v>0</v>
      </c>
      <c r="AI93" s="116" t="s">
        <v>109</v>
      </c>
      <c r="AJ93" s="88" t="n">
        <f aca="false">IF(AN93=0,K93,0)</f>
        <v>0</v>
      </c>
      <c r="AK93" s="88" t="n">
        <f aca="false">IF(AN93=12,K93,0)</f>
        <v>0</v>
      </c>
      <c r="AL93" s="88" t="n">
        <f aca="false">IF(AN93=21,K93,0)</f>
        <v>0</v>
      </c>
      <c r="AN93" s="88" t="n">
        <v>21</v>
      </c>
      <c r="AO93" s="88" t="n">
        <f aca="false">H93*0</f>
        <v>0</v>
      </c>
      <c r="AP93" s="88" t="n">
        <f aca="false">H93*(1-0)</f>
        <v>0</v>
      </c>
      <c r="AQ93" s="87" t="s">
        <v>151</v>
      </c>
      <c r="AV93" s="88" t="n">
        <f aca="false">ROUND(AW93+AX93,2)</f>
        <v>0</v>
      </c>
      <c r="AW93" s="88" t="n">
        <f aca="false">ROUND(G93*AO93,2)</f>
        <v>0</v>
      </c>
      <c r="AX93" s="88" t="n">
        <f aca="false">ROUND(G93*AP93,2)</f>
        <v>0</v>
      </c>
      <c r="AY93" s="87" t="s">
        <v>389</v>
      </c>
      <c r="AZ93" s="87" t="s">
        <v>367</v>
      </c>
      <c r="BA93" s="116" t="s">
        <v>368</v>
      </c>
      <c r="BC93" s="88" t="n">
        <f aca="false">AW93+AX93</f>
        <v>0</v>
      </c>
      <c r="BD93" s="88" t="n">
        <f aca="false">H93/(100-BE93)*100</f>
        <v>0</v>
      </c>
      <c r="BE93" s="88" t="n">
        <v>0</v>
      </c>
      <c r="BF93" s="88" t="n">
        <f aca="false">M93</f>
        <v>0</v>
      </c>
      <c r="BH93" s="88" t="n">
        <f aca="false">G93*AO93</f>
        <v>0</v>
      </c>
      <c r="BI93" s="88" t="n">
        <f aca="false">G93*AP93</f>
        <v>0</v>
      </c>
      <c r="BJ93" s="88" t="n">
        <f aca="false">G93*H93</f>
        <v>0</v>
      </c>
      <c r="BK93" s="87" t="s">
        <v>159</v>
      </c>
      <c r="BL93" s="88" t="n">
        <v>18</v>
      </c>
      <c r="BW93" s="88" t="n">
        <v>21</v>
      </c>
      <c r="BX93" s="9" t="s">
        <v>392</v>
      </c>
    </row>
    <row r="94" customFormat="false" ht="15" hidden="false" customHeight="true" outlineLevel="0" collapsed="false">
      <c r="A94" s="134" t="s">
        <v>393</v>
      </c>
      <c r="B94" s="134" t="s">
        <v>109</v>
      </c>
      <c r="C94" s="134" t="s">
        <v>394</v>
      </c>
      <c r="D94" s="135" t="s">
        <v>395</v>
      </c>
      <c r="E94" s="135"/>
      <c r="F94" s="134" t="s">
        <v>202</v>
      </c>
      <c r="G94" s="136" t="n">
        <v>193</v>
      </c>
      <c r="H94" s="137"/>
      <c r="I94" s="137" t="n">
        <f aca="false">ROUND(G94*AO94,2)</f>
        <v>0</v>
      </c>
      <c r="J94" s="137" t="n">
        <f aca="false">ROUND(G94*AP94,2)</f>
        <v>0</v>
      </c>
      <c r="K94" s="137" t="n">
        <f aca="false">ROUND(G94*H94,2)</f>
        <v>0</v>
      </c>
      <c r="L94" s="137" t="n">
        <v>0</v>
      </c>
      <c r="M94" s="137" t="n">
        <f aca="false">G94*L94</f>
        <v>0</v>
      </c>
      <c r="N94" s="138" t="s">
        <v>155</v>
      </c>
      <c r="Z94" s="88" t="n">
        <f aca="false">ROUND(IF(AQ94="5",BJ94,0),2)</f>
        <v>0</v>
      </c>
      <c r="AB94" s="88" t="n">
        <f aca="false">ROUND(IF(AQ94="1",BH94,0),2)</f>
        <v>0</v>
      </c>
      <c r="AC94" s="88" t="n">
        <f aca="false">ROUND(IF(AQ94="1",BI94,0),2)</f>
        <v>0</v>
      </c>
      <c r="AD94" s="88" t="n">
        <f aca="false">ROUND(IF(AQ94="7",BH94,0),2)</f>
        <v>0</v>
      </c>
      <c r="AE94" s="88" t="n">
        <f aca="false">ROUND(IF(AQ94="7",BI94,0),2)</f>
        <v>0</v>
      </c>
      <c r="AF94" s="88" t="n">
        <f aca="false">ROUND(IF(AQ94="2",BH94,0),2)</f>
        <v>0</v>
      </c>
      <c r="AG94" s="88" t="n">
        <f aca="false">ROUND(IF(AQ94="2",BI94,0),2)</f>
        <v>0</v>
      </c>
      <c r="AH94" s="88" t="n">
        <f aca="false">ROUND(IF(AQ94="0",BJ94,0),2)</f>
        <v>0</v>
      </c>
      <c r="AI94" s="116" t="s">
        <v>109</v>
      </c>
      <c r="AJ94" s="88" t="n">
        <f aca="false">IF(AN94=0,K94,0)</f>
        <v>0</v>
      </c>
      <c r="AK94" s="88" t="n">
        <f aca="false">IF(AN94=12,K94,0)</f>
        <v>0</v>
      </c>
      <c r="AL94" s="88" t="n">
        <f aca="false">IF(AN94=21,K94,0)</f>
        <v>0</v>
      </c>
      <c r="AN94" s="88" t="n">
        <v>21</v>
      </c>
      <c r="AO94" s="88" t="n">
        <f aca="false">H94*0</f>
        <v>0</v>
      </c>
      <c r="AP94" s="88" t="n">
        <f aca="false">H94*(1-0)</f>
        <v>0</v>
      </c>
      <c r="AQ94" s="87" t="s">
        <v>151</v>
      </c>
      <c r="AV94" s="88" t="n">
        <f aca="false">ROUND(AW94+AX94,2)</f>
        <v>0</v>
      </c>
      <c r="AW94" s="88" t="n">
        <f aca="false">ROUND(G94*AO94,2)</f>
        <v>0</v>
      </c>
      <c r="AX94" s="88" t="n">
        <f aca="false">ROUND(G94*AP94,2)</f>
        <v>0</v>
      </c>
      <c r="AY94" s="87" t="s">
        <v>389</v>
      </c>
      <c r="AZ94" s="87" t="s">
        <v>367</v>
      </c>
      <c r="BA94" s="116" t="s">
        <v>368</v>
      </c>
      <c r="BC94" s="88" t="n">
        <f aca="false">AW94+AX94</f>
        <v>0</v>
      </c>
      <c r="BD94" s="88" t="n">
        <f aca="false">H94/(100-BE94)*100</f>
        <v>0</v>
      </c>
      <c r="BE94" s="88" t="n">
        <v>0</v>
      </c>
      <c r="BF94" s="88" t="n">
        <f aca="false">M94</f>
        <v>0</v>
      </c>
      <c r="BH94" s="88" t="n">
        <f aca="false">G94*AO94</f>
        <v>0</v>
      </c>
      <c r="BI94" s="88" t="n">
        <f aca="false">G94*AP94</f>
        <v>0</v>
      </c>
      <c r="BJ94" s="88" t="n">
        <f aca="false">G94*H94</f>
        <v>0</v>
      </c>
      <c r="BK94" s="87" t="s">
        <v>159</v>
      </c>
      <c r="BL94" s="88" t="n">
        <v>18</v>
      </c>
      <c r="BW94" s="88" t="n">
        <v>21</v>
      </c>
      <c r="BX94" s="9" t="s">
        <v>395</v>
      </c>
    </row>
    <row r="95" customFormat="false" ht="23.85" hidden="false" customHeight="true" outlineLevel="0" collapsed="false">
      <c r="A95" s="139" t="s">
        <v>396</v>
      </c>
      <c r="B95" s="139" t="s">
        <v>109</v>
      </c>
      <c r="C95" s="139" t="s">
        <v>397</v>
      </c>
      <c r="D95" s="140" t="s">
        <v>398</v>
      </c>
      <c r="E95" s="140"/>
      <c r="F95" s="139" t="s">
        <v>202</v>
      </c>
      <c r="G95" s="141" t="n">
        <v>1.93</v>
      </c>
      <c r="H95" s="142"/>
      <c r="I95" s="142" t="n">
        <f aca="false">ROUND(G95*AO95,2)</f>
        <v>0</v>
      </c>
      <c r="J95" s="142" t="n">
        <f aca="false">ROUND(G95*AP95,2)</f>
        <v>0</v>
      </c>
      <c r="K95" s="142" t="n">
        <f aca="false">ROUND(G95*H95,2)</f>
        <v>0</v>
      </c>
      <c r="L95" s="142" t="n">
        <v>0.001</v>
      </c>
      <c r="M95" s="142" t="n">
        <f aca="false">G95*L95</f>
        <v>0.00193</v>
      </c>
      <c r="N95" s="143" t="s">
        <v>155</v>
      </c>
      <c r="Z95" s="88" t="n">
        <f aca="false">ROUND(IF(AQ95="5",BJ95,0),2)</f>
        <v>0</v>
      </c>
      <c r="AB95" s="88" t="n">
        <f aca="false">ROUND(IF(AQ95="1",BH95,0),2)</f>
        <v>0</v>
      </c>
      <c r="AC95" s="88" t="n">
        <f aca="false">ROUND(IF(AQ95="1",BI95,0),2)</f>
        <v>0</v>
      </c>
      <c r="AD95" s="88" t="n">
        <f aca="false">ROUND(IF(AQ95="7",BH95,0),2)</f>
        <v>0</v>
      </c>
      <c r="AE95" s="88" t="n">
        <f aca="false">ROUND(IF(AQ95="7",BI95,0),2)</f>
        <v>0</v>
      </c>
      <c r="AF95" s="88" t="n">
        <f aca="false">ROUND(IF(AQ95="2",BH95,0),2)</f>
        <v>0</v>
      </c>
      <c r="AG95" s="88" t="n">
        <f aca="false">ROUND(IF(AQ95="2",BI95,0),2)</f>
        <v>0</v>
      </c>
      <c r="AH95" s="88" t="n">
        <f aca="false">ROUND(IF(AQ95="0",BJ95,0),2)</f>
        <v>0</v>
      </c>
      <c r="AI95" s="116" t="s">
        <v>109</v>
      </c>
      <c r="AJ95" s="144" t="n">
        <f aca="false">IF(AN95=0,K95,0)</f>
        <v>0</v>
      </c>
      <c r="AK95" s="144" t="n">
        <f aca="false">IF(AN95=12,K95,0)</f>
        <v>0</v>
      </c>
      <c r="AL95" s="144" t="n">
        <f aca="false">IF(AN95=21,K95,0)</f>
        <v>0</v>
      </c>
      <c r="AN95" s="88" t="n">
        <v>21</v>
      </c>
      <c r="AO95" s="88" t="n">
        <f aca="false">H95*1</f>
        <v>0</v>
      </c>
      <c r="AP95" s="88" t="n">
        <f aca="false">H95*(1-1)</f>
        <v>0</v>
      </c>
      <c r="AQ95" s="145" t="s">
        <v>151</v>
      </c>
      <c r="AV95" s="88" t="n">
        <f aca="false">ROUND(AW95+AX95,2)</f>
        <v>0</v>
      </c>
      <c r="AW95" s="88" t="n">
        <f aca="false">ROUND(G95*AO95,2)</f>
        <v>0</v>
      </c>
      <c r="AX95" s="88" t="n">
        <f aca="false">ROUND(G95*AP95,2)</f>
        <v>0</v>
      </c>
      <c r="AY95" s="87" t="s">
        <v>389</v>
      </c>
      <c r="AZ95" s="87" t="s">
        <v>367</v>
      </c>
      <c r="BA95" s="116" t="s">
        <v>368</v>
      </c>
      <c r="BC95" s="88" t="n">
        <f aca="false">AW95+AX95</f>
        <v>0</v>
      </c>
      <c r="BD95" s="88" t="n">
        <f aca="false">H95/(100-BE95)*100</f>
        <v>0</v>
      </c>
      <c r="BE95" s="88" t="n">
        <v>0</v>
      </c>
      <c r="BF95" s="88" t="n">
        <f aca="false">M95</f>
        <v>0.00193</v>
      </c>
      <c r="BH95" s="144" t="n">
        <f aca="false">G95*AO95</f>
        <v>0</v>
      </c>
      <c r="BI95" s="144" t="n">
        <f aca="false">G95*AP95</f>
        <v>0</v>
      </c>
      <c r="BJ95" s="144" t="n">
        <f aca="false">G95*H95</f>
        <v>0</v>
      </c>
      <c r="BK95" s="145" t="s">
        <v>180</v>
      </c>
      <c r="BL95" s="88" t="n">
        <v>18</v>
      </c>
      <c r="BW95" s="88" t="n">
        <v>21</v>
      </c>
      <c r="BX95" s="146" t="s">
        <v>398</v>
      </c>
    </row>
    <row r="96" customFormat="false" ht="15" hidden="false" customHeight="true" outlineLevel="0" collapsed="false">
      <c r="A96" s="134" t="s">
        <v>399</v>
      </c>
      <c r="B96" s="134" t="s">
        <v>109</v>
      </c>
      <c r="C96" s="134" t="s">
        <v>400</v>
      </c>
      <c r="D96" s="135" t="s">
        <v>401</v>
      </c>
      <c r="E96" s="135"/>
      <c r="F96" s="134" t="s">
        <v>169</v>
      </c>
      <c r="G96" s="136" t="n">
        <v>33.7</v>
      </c>
      <c r="H96" s="137"/>
      <c r="I96" s="137" t="n">
        <f aca="false">ROUND(G96*AO96,2)</f>
        <v>0</v>
      </c>
      <c r="J96" s="137" t="n">
        <f aca="false">ROUND(G96*AP96,2)</f>
        <v>0</v>
      </c>
      <c r="K96" s="137" t="n">
        <f aca="false">ROUND(G96*H96,2)</f>
        <v>0</v>
      </c>
      <c r="L96" s="137" t="n">
        <v>0</v>
      </c>
      <c r="M96" s="137" t="n">
        <f aca="false">G96*L96</f>
        <v>0</v>
      </c>
      <c r="N96" s="138" t="s">
        <v>155</v>
      </c>
      <c r="Z96" s="88" t="n">
        <f aca="false">ROUND(IF(AQ96="5",BJ96,0),2)</f>
        <v>0</v>
      </c>
      <c r="AB96" s="88" t="n">
        <f aca="false">ROUND(IF(AQ96="1",BH96,0),2)</f>
        <v>0</v>
      </c>
      <c r="AC96" s="88" t="n">
        <f aca="false">ROUND(IF(AQ96="1",BI96,0),2)</f>
        <v>0</v>
      </c>
      <c r="AD96" s="88" t="n">
        <f aca="false">ROUND(IF(AQ96="7",BH96,0),2)</f>
        <v>0</v>
      </c>
      <c r="AE96" s="88" t="n">
        <f aca="false">ROUND(IF(AQ96="7",BI96,0),2)</f>
        <v>0</v>
      </c>
      <c r="AF96" s="88" t="n">
        <f aca="false">ROUND(IF(AQ96="2",BH96,0),2)</f>
        <v>0</v>
      </c>
      <c r="AG96" s="88" t="n">
        <f aca="false">ROUND(IF(AQ96="2",BI96,0),2)</f>
        <v>0</v>
      </c>
      <c r="AH96" s="88" t="n">
        <f aca="false">ROUND(IF(AQ96="0",BJ96,0),2)</f>
        <v>0</v>
      </c>
      <c r="AI96" s="116" t="s">
        <v>109</v>
      </c>
      <c r="AJ96" s="88" t="n">
        <f aca="false">IF(AN96=0,K96,0)</f>
        <v>0</v>
      </c>
      <c r="AK96" s="88" t="n">
        <f aca="false">IF(AN96=12,K96,0)</f>
        <v>0</v>
      </c>
      <c r="AL96" s="88" t="n">
        <f aca="false">IF(AN96=21,K96,0)</f>
        <v>0</v>
      </c>
      <c r="AN96" s="88" t="n">
        <v>21</v>
      </c>
      <c r="AO96" s="88" t="n">
        <f aca="false">H96*0</f>
        <v>0</v>
      </c>
      <c r="AP96" s="88" t="n">
        <f aca="false">H96*(1-0)</f>
        <v>0</v>
      </c>
      <c r="AQ96" s="87" t="s">
        <v>151</v>
      </c>
      <c r="AV96" s="88" t="n">
        <f aca="false">ROUND(AW96+AX96,2)</f>
        <v>0</v>
      </c>
      <c r="AW96" s="88" t="n">
        <f aca="false">ROUND(G96*AO96,2)</f>
        <v>0</v>
      </c>
      <c r="AX96" s="88" t="n">
        <f aca="false">ROUND(G96*AP96,2)</f>
        <v>0</v>
      </c>
      <c r="AY96" s="87" t="s">
        <v>389</v>
      </c>
      <c r="AZ96" s="87" t="s">
        <v>367</v>
      </c>
      <c r="BA96" s="116" t="s">
        <v>368</v>
      </c>
      <c r="BC96" s="88" t="n">
        <f aca="false">AW96+AX96</f>
        <v>0</v>
      </c>
      <c r="BD96" s="88" t="n">
        <f aca="false">H96/(100-BE96)*100</f>
        <v>0</v>
      </c>
      <c r="BE96" s="88" t="n">
        <v>0</v>
      </c>
      <c r="BF96" s="88" t="n">
        <f aca="false">M96</f>
        <v>0</v>
      </c>
      <c r="BH96" s="88" t="n">
        <f aca="false">G96*AO96</f>
        <v>0</v>
      </c>
      <c r="BI96" s="88" t="n">
        <f aca="false">G96*AP96</f>
        <v>0</v>
      </c>
      <c r="BJ96" s="88" t="n">
        <f aca="false">G96*H96</f>
        <v>0</v>
      </c>
      <c r="BK96" s="87" t="s">
        <v>159</v>
      </c>
      <c r="BL96" s="88" t="n">
        <v>18</v>
      </c>
      <c r="BW96" s="88" t="n">
        <v>21</v>
      </c>
      <c r="BX96" s="9" t="s">
        <v>401</v>
      </c>
    </row>
    <row r="97" customFormat="false" ht="23.85" hidden="false" customHeight="true" outlineLevel="0" collapsed="false">
      <c r="A97" s="139" t="s">
        <v>402</v>
      </c>
      <c r="B97" s="139" t="s">
        <v>109</v>
      </c>
      <c r="C97" s="139" t="s">
        <v>356</v>
      </c>
      <c r="D97" s="140" t="s">
        <v>403</v>
      </c>
      <c r="E97" s="140"/>
      <c r="F97" s="139" t="s">
        <v>179</v>
      </c>
      <c r="G97" s="141" t="n">
        <v>4.671</v>
      </c>
      <c r="H97" s="142"/>
      <c r="I97" s="142" t="n">
        <f aca="false">ROUND(G97*AO97,2)</f>
        <v>0</v>
      </c>
      <c r="J97" s="142" t="n">
        <f aca="false">ROUND(G97*AP97,2)</f>
        <v>0</v>
      </c>
      <c r="K97" s="142" t="n">
        <f aca="false">ROUND(G97*H97,2)</f>
        <v>0</v>
      </c>
      <c r="L97" s="142" t="n">
        <v>1</v>
      </c>
      <c r="M97" s="142" t="n">
        <f aca="false">G97*L97</f>
        <v>4.671</v>
      </c>
      <c r="N97" s="143" t="s">
        <v>155</v>
      </c>
      <c r="Z97" s="88" t="n">
        <f aca="false">ROUND(IF(AQ97="5",BJ97,0),2)</f>
        <v>0</v>
      </c>
      <c r="AB97" s="88" t="n">
        <f aca="false">ROUND(IF(AQ97="1",BH97,0),2)</f>
        <v>0</v>
      </c>
      <c r="AC97" s="88" t="n">
        <f aca="false">ROUND(IF(AQ97="1",BI97,0),2)</f>
        <v>0</v>
      </c>
      <c r="AD97" s="88" t="n">
        <f aca="false">ROUND(IF(AQ97="7",BH97,0),2)</f>
        <v>0</v>
      </c>
      <c r="AE97" s="88" t="n">
        <f aca="false">ROUND(IF(AQ97="7",BI97,0),2)</f>
        <v>0</v>
      </c>
      <c r="AF97" s="88" t="n">
        <f aca="false">ROUND(IF(AQ97="2",BH97,0),2)</f>
        <v>0</v>
      </c>
      <c r="AG97" s="88" t="n">
        <f aca="false">ROUND(IF(AQ97="2",BI97,0),2)</f>
        <v>0</v>
      </c>
      <c r="AH97" s="88" t="n">
        <f aca="false">ROUND(IF(AQ97="0",BJ97,0),2)</f>
        <v>0</v>
      </c>
      <c r="AI97" s="116" t="s">
        <v>109</v>
      </c>
      <c r="AJ97" s="144" t="n">
        <f aca="false">IF(AN97=0,K97,0)</f>
        <v>0</v>
      </c>
      <c r="AK97" s="144" t="n">
        <f aca="false">IF(AN97=12,K97,0)</f>
        <v>0</v>
      </c>
      <c r="AL97" s="144" t="n">
        <f aca="false">IF(AN97=21,K97,0)</f>
        <v>0</v>
      </c>
      <c r="AN97" s="88" t="n">
        <v>21</v>
      </c>
      <c r="AO97" s="88" t="n">
        <f aca="false">H97*1</f>
        <v>0</v>
      </c>
      <c r="AP97" s="88" t="n">
        <f aca="false">H97*(1-1)</f>
        <v>0</v>
      </c>
      <c r="AQ97" s="145" t="s">
        <v>151</v>
      </c>
      <c r="AV97" s="88" t="n">
        <f aca="false">ROUND(AW97+AX97,2)</f>
        <v>0</v>
      </c>
      <c r="AW97" s="88" t="n">
        <f aca="false">ROUND(G97*AO97,2)</f>
        <v>0</v>
      </c>
      <c r="AX97" s="88" t="n">
        <f aca="false">ROUND(G97*AP97,2)</f>
        <v>0</v>
      </c>
      <c r="AY97" s="87" t="s">
        <v>389</v>
      </c>
      <c r="AZ97" s="87" t="s">
        <v>367</v>
      </c>
      <c r="BA97" s="116" t="s">
        <v>368</v>
      </c>
      <c r="BC97" s="88" t="n">
        <f aca="false">AW97+AX97</f>
        <v>0</v>
      </c>
      <c r="BD97" s="88" t="n">
        <f aca="false">H97/(100-BE97)*100</f>
        <v>0</v>
      </c>
      <c r="BE97" s="88" t="n">
        <v>0</v>
      </c>
      <c r="BF97" s="88" t="n">
        <f aca="false">M97</f>
        <v>4.671</v>
      </c>
      <c r="BH97" s="144" t="n">
        <f aca="false">G97*AO97</f>
        <v>0</v>
      </c>
      <c r="BI97" s="144" t="n">
        <f aca="false">G97*AP97</f>
        <v>0</v>
      </c>
      <c r="BJ97" s="144" t="n">
        <f aca="false">G97*H97</f>
        <v>0</v>
      </c>
      <c r="BK97" s="145" t="s">
        <v>180</v>
      </c>
      <c r="BL97" s="88" t="n">
        <v>18</v>
      </c>
      <c r="BW97" s="88" t="n">
        <v>21</v>
      </c>
      <c r="BX97" s="146" t="s">
        <v>403</v>
      </c>
    </row>
    <row r="98" customFormat="false" ht="23.85" hidden="false" customHeight="true" outlineLevel="0" collapsed="false">
      <c r="A98" s="134" t="s">
        <v>404</v>
      </c>
      <c r="B98" s="134" t="s">
        <v>109</v>
      </c>
      <c r="C98" s="134" t="s">
        <v>380</v>
      </c>
      <c r="D98" s="135" t="s">
        <v>405</v>
      </c>
      <c r="E98" s="135"/>
      <c r="F98" s="134" t="s">
        <v>169</v>
      </c>
      <c r="G98" s="136" t="n">
        <v>33.7</v>
      </c>
      <c r="H98" s="137"/>
      <c r="I98" s="137" t="n">
        <f aca="false">ROUND(G98*AO98,2)</f>
        <v>0</v>
      </c>
      <c r="J98" s="137" t="n">
        <f aca="false">ROUND(G98*AP98,2)</f>
        <v>0</v>
      </c>
      <c r="K98" s="137" t="n">
        <f aca="false">ROUND(G98*H98,2)</f>
        <v>0</v>
      </c>
      <c r="L98" s="137" t="n">
        <v>0</v>
      </c>
      <c r="M98" s="137" t="n">
        <f aca="false">G98*L98</f>
        <v>0</v>
      </c>
      <c r="N98" s="138" t="s">
        <v>155</v>
      </c>
      <c r="Z98" s="88" t="n">
        <f aca="false">ROUND(IF(AQ98="5",BJ98,0),2)</f>
        <v>0</v>
      </c>
      <c r="AB98" s="88" t="n">
        <f aca="false">ROUND(IF(AQ98="1",BH98,0),2)</f>
        <v>0</v>
      </c>
      <c r="AC98" s="88" t="n">
        <f aca="false">ROUND(IF(AQ98="1",BI98,0),2)</f>
        <v>0</v>
      </c>
      <c r="AD98" s="88" t="n">
        <f aca="false">ROUND(IF(AQ98="7",BH98,0),2)</f>
        <v>0</v>
      </c>
      <c r="AE98" s="88" t="n">
        <f aca="false">ROUND(IF(AQ98="7",BI98,0),2)</f>
        <v>0</v>
      </c>
      <c r="AF98" s="88" t="n">
        <f aca="false">ROUND(IF(AQ98="2",BH98,0),2)</f>
        <v>0</v>
      </c>
      <c r="AG98" s="88" t="n">
        <f aca="false">ROUND(IF(AQ98="2",BI98,0),2)</f>
        <v>0</v>
      </c>
      <c r="AH98" s="88" t="n">
        <f aca="false">ROUND(IF(AQ98="0",BJ98,0),2)</f>
        <v>0</v>
      </c>
      <c r="AI98" s="116" t="s">
        <v>109</v>
      </c>
      <c r="AJ98" s="88" t="n">
        <f aca="false">IF(AN98=0,K98,0)</f>
        <v>0</v>
      </c>
      <c r="AK98" s="88" t="n">
        <f aca="false">IF(AN98=12,K98,0)</f>
        <v>0</v>
      </c>
      <c r="AL98" s="88" t="n">
        <f aca="false">IF(AN98=21,K98,0)</f>
        <v>0</v>
      </c>
      <c r="AN98" s="88" t="n">
        <v>21</v>
      </c>
      <c r="AO98" s="88" t="n">
        <f aca="false">H98*0</f>
        <v>0</v>
      </c>
      <c r="AP98" s="88" t="n">
        <f aca="false">H98*(1-0)</f>
        <v>0</v>
      </c>
      <c r="AQ98" s="87" t="s">
        <v>151</v>
      </c>
      <c r="AV98" s="88" t="n">
        <f aca="false">ROUND(AW98+AX98,2)</f>
        <v>0</v>
      </c>
      <c r="AW98" s="88" t="n">
        <f aca="false">ROUND(G98*AO98,2)</f>
        <v>0</v>
      </c>
      <c r="AX98" s="88" t="n">
        <f aca="false">ROUND(G98*AP98,2)</f>
        <v>0</v>
      </c>
      <c r="AY98" s="87" t="s">
        <v>389</v>
      </c>
      <c r="AZ98" s="87" t="s">
        <v>367</v>
      </c>
      <c r="BA98" s="116" t="s">
        <v>368</v>
      </c>
      <c r="BC98" s="88" t="n">
        <f aca="false">AW98+AX98</f>
        <v>0</v>
      </c>
      <c r="BD98" s="88" t="n">
        <f aca="false">H98/(100-BE98)*100</f>
        <v>0</v>
      </c>
      <c r="BE98" s="88" t="n">
        <v>0</v>
      </c>
      <c r="BF98" s="88" t="n">
        <f aca="false">M98</f>
        <v>0</v>
      </c>
      <c r="BH98" s="88" t="n">
        <f aca="false">G98*AO98</f>
        <v>0</v>
      </c>
      <c r="BI98" s="88" t="n">
        <f aca="false">G98*AP98</f>
        <v>0</v>
      </c>
      <c r="BJ98" s="88" t="n">
        <f aca="false">G98*H98</f>
        <v>0</v>
      </c>
      <c r="BK98" s="87" t="s">
        <v>159</v>
      </c>
      <c r="BL98" s="88" t="n">
        <v>18</v>
      </c>
      <c r="BW98" s="88" t="n">
        <v>21</v>
      </c>
      <c r="BX98" s="9" t="s">
        <v>405</v>
      </c>
    </row>
    <row r="99" customFormat="false" ht="15" hidden="false" customHeight="true" outlineLevel="0" collapsed="false">
      <c r="A99" s="134" t="s">
        <v>406</v>
      </c>
      <c r="B99" s="134" t="s">
        <v>109</v>
      </c>
      <c r="C99" s="134" t="s">
        <v>407</v>
      </c>
      <c r="D99" s="135" t="s">
        <v>408</v>
      </c>
      <c r="E99" s="135"/>
      <c r="F99" s="134" t="s">
        <v>169</v>
      </c>
      <c r="G99" s="136" t="n">
        <v>33.7</v>
      </c>
      <c r="H99" s="137"/>
      <c r="I99" s="137" t="n">
        <f aca="false">ROUND(G99*AO99,2)</f>
        <v>0</v>
      </c>
      <c r="J99" s="137" t="n">
        <f aca="false">ROUND(G99*AP99,2)</f>
        <v>0</v>
      </c>
      <c r="K99" s="137" t="n">
        <f aca="false">ROUND(G99*H99,2)</f>
        <v>0</v>
      </c>
      <c r="L99" s="137" t="n">
        <v>0</v>
      </c>
      <c r="M99" s="137" t="n">
        <f aca="false">G99*L99</f>
        <v>0</v>
      </c>
      <c r="N99" s="138" t="s">
        <v>155</v>
      </c>
      <c r="Z99" s="88" t="n">
        <f aca="false">ROUND(IF(AQ99="5",BJ99,0),2)</f>
        <v>0</v>
      </c>
      <c r="AB99" s="88" t="n">
        <f aca="false">ROUND(IF(AQ99="1",BH99,0),2)</f>
        <v>0</v>
      </c>
      <c r="AC99" s="88" t="n">
        <f aca="false">ROUND(IF(AQ99="1",BI99,0),2)</f>
        <v>0</v>
      </c>
      <c r="AD99" s="88" t="n">
        <f aca="false">ROUND(IF(AQ99="7",BH99,0),2)</f>
        <v>0</v>
      </c>
      <c r="AE99" s="88" t="n">
        <f aca="false">ROUND(IF(AQ99="7",BI99,0),2)</f>
        <v>0</v>
      </c>
      <c r="AF99" s="88" t="n">
        <f aca="false">ROUND(IF(AQ99="2",BH99,0),2)</f>
        <v>0</v>
      </c>
      <c r="AG99" s="88" t="n">
        <f aca="false">ROUND(IF(AQ99="2",BI99,0),2)</f>
        <v>0</v>
      </c>
      <c r="AH99" s="88" t="n">
        <f aca="false">ROUND(IF(AQ99="0",BJ99,0),2)</f>
        <v>0</v>
      </c>
      <c r="AI99" s="116" t="s">
        <v>109</v>
      </c>
      <c r="AJ99" s="88" t="n">
        <f aca="false">IF(AN99=0,K99,0)</f>
        <v>0</v>
      </c>
      <c r="AK99" s="88" t="n">
        <f aca="false">IF(AN99=12,K99,0)</f>
        <v>0</v>
      </c>
      <c r="AL99" s="88" t="n">
        <f aca="false">IF(AN99=21,K99,0)</f>
        <v>0</v>
      </c>
      <c r="AN99" s="88" t="n">
        <v>21</v>
      </c>
      <c r="AO99" s="88" t="n">
        <f aca="false">H99*0</f>
        <v>0</v>
      </c>
      <c r="AP99" s="88" t="n">
        <f aca="false">H99*(1-0)</f>
        <v>0</v>
      </c>
      <c r="AQ99" s="87" t="s">
        <v>151</v>
      </c>
      <c r="AV99" s="88" t="n">
        <f aca="false">ROUND(AW99+AX99,2)</f>
        <v>0</v>
      </c>
      <c r="AW99" s="88" t="n">
        <f aca="false">ROUND(G99*AO99,2)</f>
        <v>0</v>
      </c>
      <c r="AX99" s="88" t="n">
        <f aca="false">ROUND(G99*AP99,2)</f>
        <v>0</v>
      </c>
      <c r="AY99" s="87" t="s">
        <v>389</v>
      </c>
      <c r="AZ99" s="87" t="s">
        <v>367</v>
      </c>
      <c r="BA99" s="116" t="s">
        <v>368</v>
      </c>
      <c r="BC99" s="88" t="n">
        <f aca="false">AW99+AX99</f>
        <v>0</v>
      </c>
      <c r="BD99" s="88" t="n">
        <f aca="false">H99/(100-BE99)*100</f>
        <v>0</v>
      </c>
      <c r="BE99" s="88" t="n">
        <v>0</v>
      </c>
      <c r="BF99" s="88" t="n">
        <f aca="false">M99</f>
        <v>0</v>
      </c>
      <c r="BH99" s="88" t="n">
        <f aca="false">G99*AO99</f>
        <v>0</v>
      </c>
      <c r="BI99" s="88" t="n">
        <f aca="false">G99*AP99</f>
        <v>0</v>
      </c>
      <c r="BJ99" s="88" t="n">
        <f aca="false">G99*H99</f>
        <v>0</v>
      </c>
      <c r="BK99" s="87" t="s">
        <v>159</v>
      </c>
      <c r="BL99" s="88" t="n">
        <v>18</v>
      </c>
      <c r="BW99" s="88" t="n">
        <v>21</v>
      </c>
      <c r="BX99" s="9" t="s">
        <v>408</v>
      </c>
    </row>
    <row r="100" customFormat="false" ht="15" hidden="false" customHeight="true" outlineLevel="0" collapsed="false">
      <c r="A100" s="134" t="s">
        <v>409</v>
      </c>
      <c r="B100" s="134" t="s">
        <v>109</v>
      </c>
      <c r="C100" s="134" t="s">
        <v>410</v>
      </c>
      <c r="D100" s="135" t="s">
        <v>411</v>
      </c>
      <c r="E100" s="135"/>
      <c r="F100" s="134" t="s">
        <v>189</v>
      </c>
      <c r="G100" s="136" t="n">
        <v>0.674</v>
      </c>
      <c r="H100" s="137"/>
      <c r="I100" s="137" t="n">
        <f aca="false">ROUND(G100*AO100,2)</f>
        <v>0</v>
      </c>
      <c r="J100" s="137" t="n">
        <f aca="false">ROUND(G100*AP100,2)</f>
        <v>0</v>
      </c>
      <c r="K100" s="137" t="n">
        <f aca="false">ROUND(G100*H100,2)</f>
        <v>0</v>
      </c>
      <c r="L100" s="137" t="n">
        <v>0</v>
      </c>
      <c r="M100" s="137" t="n">
        <f aca="false">G100*L100</f>
        <v>0</v>
      </c>
      <c r="N100" s="138" t="s">
        <v>155</v>
      </c>
      <c r="Z100" s="88" t="n">
        <f aca="false">ROUND(IF(AQ100="5",BJ100,0),2)</f>
        <v>0</v>
      </c>
      <c r="AB100" s="88" t="n">
        <f aca="false">ROUND(IF(AQ100="1",BH100,0),2)</f>
        <v>0</v>
      </c>
      <c r="AC100" s="88" t="n">
        <f aca="false">ROUND(IF(AQ100="1",BI100,0),2)</f>
        <v>0</v>
      </c>
      <c r="AD100" s="88" t="n">
        <f aca="false">ROUND(IF(AQ100="7",BH100,0),2)</f>
        <v>0</v>
      </c>
      <c r="AE100" s="88" t="n">
        <f aca="false">ROUND(IF(AQ100="7",BI100,0),2)</f>
        <v>0</v>
      </c>
      <c r="AF100" s="88" t="n">
        <f aca="false">ROUND(IF(AQ100="2",BH100,0),2)</f>
        <v>0</v>
      </c>
      <c r="AG100" s="88" t="n">
        <f aca="false">ROUND(IF(AQ100="2",BI100,0),2)</f>
        <v>0</v>
      </c>
      <c r="AH100" s="88" t="n">
        <f aca="false">ROUND(IF(AQ100="0",BJ100,0),2)</f>
        <v>0</v>
      </c>
      <c r="AI100" s="116" t="s">
        <v>109</v>
      </c>
      <c r="AJ100" s="88" t="n">
        <f aca="false">IF(AN100=0,K100,0)</f>
        <v>0</v>
      </c>
      <c r="AK100" s="88" t="n">
        <f aca="false">IF(AN100=12,K100,0)</f>
        <v>0</v>
      </c>
      <c r="AL100" s="88" t="n">
        <f aca="false">IF(AN100=21,K100,0)</f>
        <v>0</v>
      </c>
      <c r="AN100" s="88" t="n">
        <v>21</v>
      </c>
      <c r="AO100" s="88" t="n">
        <f aca="false">H100*0.292816891</f>
        <v>0</v>
      </c>
      <c r="AP100" s="88" t="n">
        <f aca="false">H100*(1-0.292816891)</f>
        <v>0</v>
      </c>
      <c r="AQ100" s="87" t="s">
        <v>151</v>
      </c>
      <c r="AV100" s="88" t="n">
        <f aca="false">ROUND(AW100+AX100,2)</f>
        <v>0</v>
      </c>
      <c r="AW100" s="88" t="n">
        <f aca="false">ROUND(G100*AO100,2)</f>
        <v>0</v>
      </c>
      <c r="AX100" s="88" t="n">
        <f aca="false">ROUND(G100*AP100,2)</f>
        <v>0</v>
      </c>
      <c r="AY100" s="87" t="s">
        <v>389</v>
      </c>
      <c r="AZ100" s="87" t="s">
        <v>367</v>
      </c>
      <c r="BA100" s="116" t="s">
        <v>368</v>
      </c>
      <c r="BC100" s="88" t="n">
        <f aca="false">AW100+AX100</f>
        <v>0</v>
      </c>
      <c r="BD100" s="88" t="n">
        <f aca="false">H100/(100-BE100)*100</f>
        <v>0</v>
      </c>
      <c r="BE100" s="88" t="n">
        <v>0</v>
      </c>
      <c r="BF100" s="88" t="n">
        <f aca="false">M100</f>
        <v>0</v>
      </c>
      <c r="BH100" s="88" t="n">
        <f aca="false">G100*AO100</f>
        <v>0</v>
      </c>
      <c r="BI100" s="88" t="n">
        <f aca="false">G100*AP100</f>
        <v>0</v>
      </c>
      <c r="BJ100" s="88" t="n">
        <f aca="false">G100*H100</f>
        <v>0</v>
      </c>
      <c r="BK100" s="87" t="s">
        <v>159</v>
      </c>
      <c r="BL100" s="88" t="n">
        <v>18</v>
      </c>
      <c r="BW100" s="88" t="n">
        <v>21</v>
      </c>
      <c r="BX100" s="9" t="s">
        <v>411</v>
      </c>
    </row>
    <row r="101" customFormat="false" ht="15" hidden="false" customHeight="true" outlineLevel="0" collapsed="false">
      <c r="A101" s="134" t="s">
        <v>412</v>
      </c>
      <c r="B101" s="134" t="s">
        <v>109</v>
      </c>
      <c r="C101" s="134" t="s">
        <v>413</v>
      </c>
      <c r="D101" s="135" t="s">
        <v>414</v>
      </c>
      <c r="E101" s="135"/>
      <c r="F101" s="134" t="s">
        <v>189</v>
      </c>
      <c r="G101" s="136" t="n">
        <v>0.674</v>
      </c>
      <c r="H101" s="137"/>
      <c r="I101" s="137" t="n">
        <f aca="false">ROUND(G101*AO101,2)</f>
        <v>0</v>
      </c>
      <c r="J101" s="137" t="n">
        <f aca="false">ROUND(G101*AP101,2)</f>
        <v>0</v>
      </c>
      <c r="K101" s="137" t="n">
        <f aca="false">ROUND(G101*H101,2)</f>
        <v>0</v>
      </c>
      <c r="L101" s="137" t="n">
        <v>0</v>
      </c>
      <c r="M101" s="137" t="n">
        <f aca="false">G101*L101</f>
        <v>0</v>
      </c>
      <c r="N101" s="138" t="s">
        <v>155</v>
      </c>
      <c r="Z101" s="88" t="n">
        <f aca="false">ROUND(IF(AQ101="5",BJ101,0),2)</f>
        <v>0</v>
      </c>
      <c r="AB101" s="88" t="n">
        <f aca="false">ROUND(IF(AQ101="1",BH101,0),2)</f>
        <v>0</v>
      </c>
      <c r="AC101" s="88" t="n">
        <f aca="false">ROUND(IF(AQ101="1",BI101,0),2)</f>
        <v>0</v>
      </c>
      <c r="AD101" s="88" t="n">
        <f aca="false">ROUND(IF(AQ101="7",BH101,0),2)</f>
        <v>0</v>
      </c>
      <c r="AE101" s="88" t="n">
        <f aca="false">ROUND(IF(AQ101="7",BI101,0),2)</f>
        <v>0</v>
      </c>
      <c r="AF101" s="88" t="n">
        <f aca="false">ROUND(IF(AQ101="2",BH101,0),2)</f>
        <v>0</v>
      </c>
      <c r="AG101" s="88" t="n">
        <f aca="false">ROUND(IF(AQ101="2",BI101,0),2)</f>
        <v>0</v>
      </c>
      <c r="AH101" s="88" t="n">
        <f aca="false">ROUND(IF(AQ101="0",BJ101,0),2)</f>
        <v>0</v>
      </c>
      <c r="AI101" s="116" t="s">
        <v>109</v>
      </c>
      <c r="AJ101" s="88" t="n">
        <f aca="false">IF(AN101=0,K101,0)</f>
        <v>0</v>
      </c>
      <c r="AK101" s="88" t="n">
        <f aca="false">IF(AN101=12,K101,0)</f>
        <v>0</v>
      </c>
      <c r="AL101" s="88" t="n">
        <f aca="false">IF(AN101=21,K101,0)</f>
        <v>0</v>
      </c>
      <c r="AN101" s="88" t="n">
        <v>21</v>
      </c>
      <c r="AO101" s="88" t="n">
        <f aca="false">H101*0</f>
        <v>0</v>
      </c>
      <c r="AP101" s="88" t="n">
        <f aca="false">H101*(1-0)</f>
        <v>0</v>
      </c>
      <c r="AQ101" s="87" t="s">
        <v>151</v>
      </c>
      <c r="AV101" s="88" t="n">
        <f aca="false">ROUND(AW101+AX101,2)</f>
        <v>0</v>
      </c>
      <c r="AW101" s="88" t="n">
        <f aca="false">ROUND(G101*AO101,2)</f>
        <v>0</v>
      </c>
      <c r="AX101" s="88" t="n">
        <f aca="false">ROUND(G101*AP101,2)</f>
        <v>0</v>
      </c>
      <c r="AY101" s="87" t="s">
        <v>389</v>
      </c>
      <c r="AZ101" s="87" t="s">
        <v>367</v>
      </c>
      <c r="BA101" s="116" t="s">
        <v>368</v>
      </c>
      <c r="BC101" s="88" t="n">
        <f aca="false">AW101+AX101</f>
        <v>0</v>
      </c>
      <c r="BD101" s="88" t="n">
        <f aca="false">H101/(100-BE101)*100</f>
        <v>0</v>
      </c>
      <c r="BE101" s="88" t="n">
        <v>0</v>
      </c>
      <c r="BF101" s="88" t="n">
        <f aca="false">M101</f>
        <v>0</v>
      </c>
      <c r="BH101" s="88" t="n">
        <f aca="false">G101*AO101</f>
        <v>0</v>
      </c>
      <c r="BI101" s="88" t="n">
        <f aca="false">G101*AP101</f>
        <v>0</v>
      </c>
      <c r="BJ101" s="88" t="n">
        <f aca="false">G101*H101</f>
        <v>0</v>
      </c>
      <c r="BK101" s="87" t="s">
        <v>159</v>
      </c>
      <c r="BL101" s="88" t="n">
        <v>18</v>
      </c>
      <c r="BW101" s="88" t="n">
        <v>21</v>
      </c>
      <c r="BX101" s="9" t="s">
        <v>414</v>
      </c>
    </row>
    <row r="102" customFormat="false" ht="15" hidden="false" customHeight="true" outlineLevel="0" collapsed="false">
      <c r="A102" s="139" t="s">
        <v>415</v>
      </c>
      <c r="B102" s="139" t="s">
        <v>109</v>
      </c>
      <c r="C102" s="139" t="s">
        <v>416</v>
      </c>
      <c r="D102" s="140" t="s">
        <v>417</v>
      </c>
      <c r="E102" s="140"/>
      <c r="F102" s="139" t="s">
        <v>202</v>
      </c>
      <c r="G102" s="141" t="n">
        <v>17</v>
      </c>
      <c r="H102" s="142"/>
      <c r="I102" s="142" t="n">
        <f aca="false">ROUND(G102*AO102,2)</f>
        <v>0</v>
      </c>
      <c r="J102" s="142" t="n">
        <f aca="false">ROUND(G102*AP102,2)</f>
        <v>0</v>
      </c>
      <c r="K102" s="142" t="n">
        <f aca="false">ROUND(G102*H102,2)</f>
        <v>0</v>
      </c>
      <c r="L102" s="142" t="n">
        <v>0.001</v>
      </c>
      <c r="M102" s="142" t="n">
        <f aca="false">G102*L102</f>
        <v>0.017</v>
      </c>
      <c r="N102" s="143"/>
      <c r="Z102" s="88" t="n">
        <f aca="false">ROUND(IF(AQ102="5",BJ102,0),2)</f>
        <v>0</v>
      </c>
      <c r="AB102" s="88" t="n">
        <f aca="false">ROUND(IF(AQ102="1",BH102,0),2)</f>
        <v>0</v>
      </c>
      <c r="AC102" s="88" t="n">
        <f aca="false">ROUND(IF(AQ102="1",BI102,0),2)</f>
        <v>0</v>
      </c>
      <c r="AD102" s="88" t="n">
        <f aca="false">ROUND(IF(AQ102="7",BH102,0),2)</f>
        <v>0</v>
      </c>
      <c r="AE102" s="88" t="n">
        <f aca="false">ROUND(IF(AQ102="7",BI102,0),2)</f>
        <v>0</v>
      </c>
      <c r="AF102" s="88" t="n">
        <f aca="false">ROUND(IF(AQ102="2",BH102,0),2)</f>
        <v>0</v>
      </c>
      <c r="AG102" s="88" t="n">
        <f aca="false">ROUND(IF(AQ102="2",BI102,0),2)</f>
        <v>0</v>
      </c>
      <c r="AH102" s="88" t="n">
        <f aca="false">ROUND(IF(AQ102="0",BJ102,0),2)</f>
        <v>0</v>
      </c>
      <c r="AI102" s="116" t="s">
        <v>109</v>
      </c>
      <c r="AJ102" s="144" t="n">
        <f aca="false">IF(AN102=0,K102,0)</f>
        <v>0</v>
      </c>
      <c r="AK102" s="144" t="n">
        <f aca="false">IF(AN102=12,K102,0)</f>
        <v>0</v>
      </c>
      <c r="AL102" s="144" t="n">
        <f aca="false">IF(AN102=21,K102,0)</f>
        <v>0</v>
      </c>
      <c r="AN102" s="88" t="n">
        <v>21</v>
      </c>
      <c r="AO102" s="88" t="n">
        <f aca="false">H102*1</f>
        <v>0</v>
      </c>
      <c r="AP102" s="88" t="n">
        <f aca="false">H102*(1-1)</f>
        <v>0</v>
      </c>
      <c r="AQ102" s="145" t="s">
        <v>151</v>
      </c>
      <c r="AV102" s="88" t="n">
        <f aca="false">ROUND(AW102+AX102,2)</f>
        <v>0</v>
      </c>
      <c r="AW102" s="88" t="n">
        <f aca="false">ROUND(G102*AO102,2)</f>
        <v>0</v>
      </c>
      <c r="AX102" s="88" t="n">
        <f aca="false">ROUND(G102*AP102,2)</f>
        <v>0</v>
      </c>
      <c r="AY102" s="87" t="s">
        <v>389</v>
      </c>
      <c r="AZ102" s="87" t="s">
        <v>367</v>
      </c>
      <c r="BA102" s="116" t="s">
        <v>368</v>
      </c>
      <c r="BC102" s="88" t="n">
        <f aca="false">AW102+AX102</f>
        <v>0</v>
      </c>
      <c r="BD102" s="88" t="n">
        <f aca="false">H102/(100-BE102)*100</f>
        <v>0</v>
      </c>
      <c r="BE102" s="88" t="n">
        <v>0</v>
      </c>
      <c r="BF102" s="88" t="n">
        <f aca="false">M102</f>
        <v>0.017</v>
      </c>
      <c r="BH102" s="144" t="n">
        <f aca="false">G102*AO102</f>
        <v>0</v>
      </c>
      <c r="BI102" s="144" t="n">
        <f aca="false">G102*AP102</f>
        <v>0</v>
      </c>
      <c r="BJ102" s="144" t="n">
        <f aca="false">G102*H102</f>
        <v>0</v>
      </c>
      <c r="BK102" s="145" t="s">
        <v>180</v>
      </c>
      <c r="BL102" s="88" t="n">
        <v>18</v>
      </c>
      <c r="BW102" s="88" t="n">
        <v>21</v>
      </c>
      <c r="BX102" s="146" t="s">
        <v>417</v>
      </c>
    </row>
    <row r="103" customFormat="false" ht="15" hidden="false" customHeight="true" outlineLevel="0" collapsed="false">
      <c r="A103" s="139" t="s">
        <v>418</v>
      </c>
      <c r="B103" s="139" t="s">
        <v>109</v>
      </c>
      <c r="C103" s="139" t="s">
        <v>419</v>
      </c>
      <c r="D103" s="140" t="s">
        <v>420</v>
      </c>
      <c r="E103" s="140"/>
      <c r="F103" s="139" t="s">
        <v>202</v>
      </c>
      <c r="G103" s="141" t="n">
        <v>11</v>
      </c>
      <c r="H103" s="142"/>
      <c r="I103" s="142" t="n">
        <f aca="false">ROUND(G103*AO103,2)</f>
        <v>0</v>
      </c>
      <c r="J103" s="142" t="n">
        <f aca="false">ROUND(G103*AP103,2)</f>
        <v>0</v>
      </c>
      <c r="K103" s="142" t="n">
        <f aca="false">ROUND(G103*H103,2)</f>
        <v>0</v>
      </c>
      <c r="L103" s="142" t="n">
        <v>0.001</v>
      </c>
      <c r="M103" s="142" t="n">
        <f aca="false">G103*L103</f>
        <v>0.011</v>
      </c>
      <c r="N103" s="143"/>
      <c r="Z103" s="88" t="n">
        <f aca="false">ROUND(IF(AQ103="5",BJ103,0),2)</f>
        <v>0</v>
      </c>
      <c r="AB103" s="88" t="n">
        <f aca="false">ROUND(IF(AQ103="1",BH103,0),2)</f>
        <v>0</v>
      </c>
      <c r="AC103" s="88" t="n">
        <f aca="false">ROUND(IF(AQ103="1",BI103,0),2)</f>
        <v>0</v>
      </c>
      <c r="AD103" s="88" t="n">
        <f aca="false">ROUND(IF(AQ103="7",BH103,0),2)</f>
        <v>0</v>
      </c>
      <c r="AE103" s="88" t="n">
        <f aca="false">ROUND(IF(AQ103="7",BI103,0),2)</f>
        <v>0</v>
      </c>
      <c r="AF103" s="88" t="n">
        <f aca="false">ROUND(IF(AQ103="2",BH103,0),2)</f>
        <v>0</v>
      </c>
      <c r="AG103" s="88" t="n">
        <f aca="false">ROUND(IF(AQ103="2",BI103,0),2)</f>
        <v>0</v>
      </c>
      <c r="AH103" s="88" t="n">
        <f aca="false">ROUND(IF(AQ103="0",BJ103,0),2)</f>
        <v>0</v>
      </c>
      <c r="AI103" s="116" t="s">
        <v>109</v>
      </c>
      <c r="AJ103" s="144" t="n">
        <f aca="false">IF(AN103=0,K103,0)</f>
        <v>0</v>
      </c>
      <c r="AK103" s="144" t="n">
        <f aca="false">IF(AN103=12,K103,0)</f>
        <v>0</v>
      </c>
      <c r="AL103" s="144" t="n">
        <f aca="false">IF(AN103=21,K103,0)</f>
        <v>0</v>
      </c>
      <c r="AN103" s="88" t="n">
        <v>21</v>
      </c>
      <c r="AO103" s="88" t="n">
        <f aca="false">H103*1</f>
        <v>0</v>
      </c>
      <c r="AP103" s="88" t="n">
        <f aca="false">H103*(1-1)</f>
        <v>0</v>
      </c>
      <c r="AQ103" s="145" t="s">
        <v>151</v>
      </c>
      <c r="AV103" s="88" t="n">
        <f aca="false">ROUND(AW103+AX103,2)</f>
        <v>0</v>
      </c>
      <c r="AW103" s="88" t="n">
        <f aca="false">ROUND(G103*AO103,2)</f>
        <v>0</v>
      </c>
      <c r="AX103" s="88" t="n">
        <f aca="false">ROUND(G103*AP103,2)</f>
        <v>0</v>
      </c>
      <c r="AY103" s="87" t="s">
        <v>389</v>
      </c>
      <c r="AZ103" s="87" t="s">
        <v>367</v>
      </c>
      <c r="BA103" s="116" t="s">
        <v>368</v>
      </c>
      <c r="BC103" s="88" t="n">
        <f aca="false">AW103+AX103</f>
        <v>0</v>
      </c>
      <c r="BD103" s="88" t="n">
        <f aca="false">H103/(100-BE103)*100</f>
        <v>0</v>
      </c>
      <c r="BE103" s="88" t="n">
        <v>0</v>
      </c>
      <c r="BF103" s="88" t="n">
        <f aca="false">M103</f>
        <v>0.011</v>
      </c>
      <c r="BH103" s="144" t="n">
        <f aca="false">G103*AO103</f>
        <v>0</v>
      </c>
      <c r="BI103" s="144" t="n">
        <f aca="false">G103*AP103</f>
        <v>0</v>
      </c>
      <c r="BJ103" s="144" t="n">
        <f aca="false">G103*H103</f>
        <v>0</v>
      </c>
      <c r="BK103" s="145" t="s">
        <v>180</v>
      </c>
      <c r="BL103" s="88" t="n">
        <v>18</v>
      </c>
      <c r="BW103" s="88" t="n">
        <v>21</v>
      </c>
      <c r="BX103" s="146" t="s">
        <v>420</v>
      </c>
    </row>
    <row r="104" customFormat="false" ht="15" hidden="false" customHeight="true" outlineLevel="0" collapsed="false">
      <c r="A104" s="139" t="s">
        <v>421</v>
      </c>
      <c r="B104" s="139" t="s">
        <v>109</v>
      </c>
      <c r="C104" s="139" t="s">
        <v>422</v>
      </c>
      <c r="D104" s="140" t="s">
        <v>423</v>
      </c>
      <c r="E104" s="140"/>
      <c r="F104" s="139" t="s">
        <v>202</v>
      </c>
      <c r="G104" s="141" t="n">
        <v>4</v>
      </c>
      <c r="H104" s="142"/>
      <c r="I104" s="142" t="n">
        <f aca="false">ROUND(G104*AO104,2)</f>
        <v>0</v>
      </c>
      <c r="J104" s="142" t="n">
        <f aca="false">ROUND(G104*AP104,2)</f>
        <v>0</v>
      </c>
      <c r="K104" s="142" t="n">
        <f aca="false">ROUND(G104*H104,2)</f>
        <v>0</v>
      </c>
      <c r="L104" s="142" t="n">
        <v>0.001</v>
      </c>
      <c r="M104" s="142" t="n">
        <f aca="false">G104*L104</f>
        <v>0.004</v>
      </c>
      <c r="N104" s="143"/>
      <c r="Z104" s="88" t="n">
        <f aca="false">ROUND(IF(AQ104="5",BJ104,0),2)</f>
        <v>0</v>
      </c>
      <c r="AB104" s="88" t="n">
        <f aca="false">ROUND(IF(AQ104="1",BH104,0),2)</f>
        <v>0</v>
      </c>
      <c r="AC104" s="88" t="n">
        <f aca="false">ROUND(IF(AQ104="1",BI104,0),2)</f>
        <v>0</v>
      </c>
      <c r="AD104" s="88" t="n">
        <f aca="false">ROUND(IF(AQ104="7",BH104,0),2)</f>
        <v>0</v>
      </c>
      <c r="AE104" s="88" t="n">
        <f aca="false">ROUND(IF(AQ104="7",BI104,0),2)</f>
        <v>0</v>
      </c>
      <c r="AF104" s="88" t="n">
        <f aca="false">ROUND(IF(AQ104="2",BH104,0),2)</f>
        <v>0</v>
      </c>
      <c r="AG104" s="88" t="n">
        <f aca="false">ROUND(IF(AQ104="2",BI104,0),2)</f>
        <v>0</v>
      </c>
      <c r="AH104" s="88" t="n">
        <f aca="false">ROUND(IF(AQ104="0",BJ104,0),2)</f>
        <v>0</v>
      </c>
      <c r="AI104" s="116" t="s">
        <v>109</v>
      </c>
      <c r="AJ104" s="144" t="n">
        <f aca="false">IF(AN104=0,K104,0)</f>
        <v>0</v>
      </c>
      <c r="AK104" s="144" t="n">
        <f aca="false">IF(AN104=12,K104,0)</f>
        <v>0</v>
      </c>
      <c r="AL104" s="144" t="n">
        <f aca="false">IF(AN104=21,K104,0)</f>
        <v>0</v>
      </c>
      <c r="AN104" s="88" t="n">
        <v>21</v>
      </c>
      <c r="AO104" s="88" t="n">
        <f aca="false">H104*1</f>
        <v>0</v>
      </c>
      <c r="AP104" s="88" t="n">
        <f aca="false">H104*(1-1)</f>
        <v>0</v>
      </c>
      <c r="AQ104" s="145" t="s">
        <v>151</v>
      </c>
      <c r="AV104" s="88" t="n">
        <f aca="false">ROUND(AW104+AX104,2)</f>
        <v>0</v>
      </c>
      <c r="AW104" s="88" t="n">
        <f aca="false">ROUND(G104*AO104,2)</f>
        <v>0</v>
      </c>
      <c r="AX104" s="88" t="n">
        <f aca="false">ROUND(G104*AP104,2)</f>
        <v>0</v>
      </c>
      <c r="AY104" s="87" t="s">
        <v>389</v>
      </c>
      <c r="AZ104" s="87" t="s">
        <v>367</v>
      </c>
      <c r="BA104" s="116" t="s">
        <v>368</v>
      </c>
      <c r="BC104" s="88" t="n">
        <f aca="false">AW104+AX104</f>
        <v>0</v>
      </c>
      <c r="BD104" s="88" t="n">
        <f aca="false">H104/(100-BE104)*100</f>
        <v>0</v>
      </c>
      <c r="BE104" s="88" t="n">
        <v>0</v>
      </c>
      <c r="BF104" s="88" t="n">
        <f aca="false">M104</f>
        <v>0.004</v>
      </c>
      <c r="BH104" s="144" t="n">
        <f aca="false">G104*AO104</f>
        <v>0</v>
      </c>
      <c r="BI104" s="144" t="n">
        <f aca="false">G104*AP104</f>
        <v>0</v>
      </c>
      <c r="BJ104" s="144" t="n">
        <f aca="false">G104*H104</f>
        <v>0</v>
      </c>
      <c r="BK104" s="145" t="s">
        <v>180</v>
      </c>
      <c r="BL104" s="88" t="n">
        <v>18</v>
      </c>
      <c r="BW104" s="88" t="n">
        <v>21</v>
      </c>
      <c r="BX104" s="146" t="s">
        <v>423</v>
      </c>
    </row>
    <row r="105" customFormat="false" ht="15" hidden="false" customHeight="true" outlineLevel="0" collapsed="false">
      <c r="A105" s="139" t="s">
        <v>424</v>
      </c>
      <c r="B105" s="139" t="s">
        <v>109</v>
      </c>
      <c r="C105" s="139" t="s">
        <v>425</v>
      </c>
      <c r="D105" s="140" t="s">
        <v>426</v>
      </c>
      <c r="E105" s="140"/>
      <c r="F105" s="139" t="s">
        <v>202</v>
      </c>
      <c r="G105" s="141" t="n">
        <v>3</v>
      </c>
      <c r="H105" s="142"/>
      <c r="I105" s="142" t="n">
        <f aca="false">ROUND(G105*AO105,2)</f>
        <v>0</v>
      </c>
      <c r="J105" s="142" t="n">
        <f aca="false">ROUND(G105*AP105,2)</f>
        <v>0</v>
      </c>
      <c r="K105" s="142" t="n">
        <f aca="false">ROUND(G105*H105,2)</f>
        <v>0</v>
      </c>
      <c r="L105" s="142" t="n">
        <v>0.001</v>
      </c>
      <c r="M105" s="142" t="n">
        <f aca="false">G105*L105</f>
        <v>0.003</v>
      </c>
      <c r="N105" s="143"/>
      <c r="Z105" s="88" t="n">
        <f aca="false">ROUND(IF(AQ105="5",BJ105,0),2)</f>
        <v>0</v>
      </c>
      <c r="AB105" s="88" t="n">
        <f aca="false">ROUND(IF(AQ105="1",BH105,0),2)</f>
        <v>0</v>
      </c>
      <c r="AC105" s="88" t="n">
        <f aca="false">ROUND(IF(AQ105="1",BI105,0),2)</f>
        <v>0</v>
      </c>
      <c r="AD105" s="88" t="n">
        <f aca="false">ROUND(IF(AQ105="7",BH105,0),2)</f>
        <v>0</v>
      </c>
      <c r="AE105" s="88" t="n">
        <f aca="false">ROUND(IF(AQ105="7",BI105,0),2)</f>
        <v>0</v>
      </c>
      <c r="AF105" s="88" t="n">
        <f aca="false">ROUND(IF(AQ105="2",BH105,0),2)</f>
        <v>0</v>
      </c>
      <c r="AG105" s="88" t="n">
        <f aca="false">ROUND(IF(AQ105="2",BI105,0),2)</f>
        <v>0</v>
      </c>
      <c r="AH105" s="88" t="n">
        <f aca="false">ROUND(IF(AQ105="0",BJ105,0),2)</f>
        <v>0</v>
      </c>
      <c r="AI105" s="116" t="s">
        <v>109</v>
      </c>
      <c r="AJ105" s="144" t="n">
        <f aca="false">IF(AN105=0,K105,0)</f>
        <v>0</v>
      </c>
      <c r="AK105" s="144" t="n">
        <f aca="false">IF(AN105=12,K105,0)</f>
        <v>0</v>
      </c>
      <c r="AL105" s="144" t="n">
        <f aca="false">IF(AN105=21,K105,0)</f>
        <v>0</v>
      </c>
      <c r="AN105" s="88" t="n">
        <v>21</v>
      </c>
      <c r="AO105" s="88" t="n">
        <f aca="false">H105*1</f>
        <v>0</v>
      </c>
      <c r="AP105" s="88" t="n">
        <f aca="false">H105*(1-1)</f>
        <v>0</v>
      </c>
      <c r="AQ105" s="145" t="s">
        <v>151</v>
      </c>
      <c r="AV105" s="88" t="n">
        <f aca="false">ROUND(AW105+AX105,2)</f>
        <v>0</v>
      </c>
      <c r="AW105" s="88" t="n">
        <f aca="false">ROUND(G105*AO105,2)</f>
        <v>0</v>
      </c>
      <c r="AX105" s="88" t="n">
        <f aca="false">ROUND(G105*AP105,2)</f>
        <v>0</v>
      </c>
      <c r="AY105" s="87" t="s">
        <v>389</v>
      </c>
      <c r="AZ105" s="87" t="s">
        <v>367</v>
      </c>
      <c r="BA105" s="116" t="s">
        <v>368</v>
      </c>
      <c r="BC105" s="88" t="n">
        <f aca="false">AW105+AX105</f>
        <v>0</v>
      </c>
      <c r="BD105" s="88" t="n">
        <f aca="false">H105/(100-BE105)*100</f>
        <v>0</v>
      </c>
      <c r="BE105" s="88" t="n">
        <v>0</v>
      </c>
      <c r="BF105" s="88" t="n">
        <f aca="false">M105</f>
        <v>0.003</v>
      </c>
      <c r="BH105" s="144" t="n">
        <f aca="false">G105*AO105</f>
        <v>0</v>
      </c>
      <c r="BI105" s="144" t="n">
        <f aca="false">G105*AP105</f>
        <v>0</v>
      </c>
      <c r="BJ105" s="144" t="n">
        <f aca="false">G105*H105</f>
        <v>0</v>
      </c>
      <c r="BK105" s="145" t="s">
        <v>180</v>
      </c>
      <c r="BL105" s="88" t="n">
        <v>18</v>
      </c>
      <c r="BW105" s="88" t="n">
        <v>21</v>
      </c>
      <c r="BX105" s="146" t="s">
        <v>426</v>
      </c>
    </row>
    <row r="106" customFormat="false" ht="15" hidden="false" customHeight="true" outlineLevel="0" collapsed="false">
      <c r="A106" s="139" t="s">
        <v>427</v>
      </c>
      <c r="B106" s="139" t="s">
        <v>109</v>
      </c>
      <c r="C106" s="139" t="s">
        <v>428</v>
      </c>
      <c r="D106" s="140" t="s">
        <v>429</v>
      </c>
      <c r="E106" s="140"/>
      <c r="F106" s="139" t="s">
        <v>202</v>
      </c>
      <c r="G106" s="141" t="n">
        <v>8</v>
      </c>
      <c r="H106" s="142"/>
      <c r="I106" s="142" t="n">
        <f aca="false">ROUND(G106*AO106,2)</f>
        <v>0</v>
      </c>
      <c r="J106" s="142" t="n">
        <f aca="false">ROUND(G106*AP106,2)</f>
        <v>0</v>
      </c>
      <c r="K106" s="142" t="n">
        <f aca="false">ROUND(G106*H106,2)</f>
        <v>0</v>
      </c>
      <c r="L106" s="142" t="n">
        <v>0.001</v>
      </c>
      <c r="M106" s="142" t="n">
        <f aca="false">G106*L106</f>
        <v>0.008</v>
      </c>
      <c r="N106" s="143"/>
      <c r="Z106" s="88" t="n">
        <f aca="false">ROUND(IF(AQ106="5",BJ106,0),2)</f>
        <v>0</v>
      </c>
      <c r="AB106" s="88" t="n">
        <f aca="false">ROUND(IF(AQ106="1",BH106,0),2)</f>
        <v>0</v>
      </c>
      <c r="AC106" s="88" t="n">
        <f aca="false">ROUND(IF(AQ106="1",BI106,0),2)</f>
        <v>0</v>
      </c>
      <c r="AD106" s="88" t="n">
        <f aca="false">ROUND(IF(AQ106="7",BH106,0),2)</f>
        <v>0</v>
      </c>
      <c r="AE106" s="88" t="n">
        <f aca="false">ROUND(IF(AQ106="7",BI106,0),2)</f>
        <v>0</v>
      </c>
      <c r="AF106" s="88" t="n">
        <f aca="false">ROUND(IF(AQ106="2",BH106,0),2)</f>
        <v>0</v>
      </c>
      <c r="AG106" s="88" t="n">
        <f aca="false">ROUND(IF(AQ106="2",BI106,0),2)</f>
        <v>0</v>
      </c>
      <c r="AH106" s="88" t="n">
        <f aca="false">ROUND(IF(AQ106="0",BJ106,0),2)</f>
        <v>0</v>
      </c>
      <c r="AI106" s="116" t="s">
        <v>109</v>
      </c>
      <c r="AJ106" s="144" t="n">
        <f aca="false">IF(AN106=0,K106,0)</f>
        <v>0</v>
      </c>
      <c r="AK106" s="144" t="n">
        <f aca="false">IF(AN106=12,K106,0)</f>
        <v>0</v>
      </c>
      <c r="AL106" s="144" t="n">
        <f aca="false">IF(AN106=21,K106,0)</f>
        <v>0</v>
      </c>
      <c r="AN106" s="88" t="n">
        <v>21</v>
      </c>
      <c r="AO106" s="88" t="n">
        <f aca="false">H106*1</f>
        <v>0</v>
      </c>
      <c r="AP106" s="88" t="n">
        <f aca="false">H106*(1-1)</f>
        <v>0</v>
      </c>
      <c r="AQ106" s="145" t="s">
        <v>151</v>
      </c>
      <c r="AV106" s="88" t="n">
        <f aca="false">ROUND(AW106+AX106,2)</f>
        <v>0</v>
      </c>
      <c r="AW106" s="88" t="n">
        <f aca="false">ROUND(G106*AO106,2)</f>
        <v>0</v>
      </c>
      <c r="AX106" s="88" t="n">
        <f aca="false">ROUND(G106*AP106,2)</f>
        <v>0</v>
      </c>
      <c r="AY106" s="87" t="s">
        <v>389</v>
      </c>
      <c r="AZ106" s="87" t="s">
        <v>367</v>
      </c>
      <c r="BA106" s="116" t="s">
        <v>368</v>
      </c>
      <c r="BC106" s="88" t="n">
        <f aca="false">AW106+AX106</f>
        <v>0</v>
      </c>
      <c r="BD106" s="88" t="n">
        <f aca="false">H106/(100-BE106)*100</f>
        <v>0</v>
      </c>
      <c r="BE106" s="88" t="n">
        <v>0</v>
      </c>
      <c r="BF106" s="88" t="n">
        <f aca="false">M106</f>
        <v>0.008</v>
      </c>
      <c r="BH106" s="144" t="n">
        <f aca="false">G106*AO106</f>
        <v>0</v>
      </c>
      <c r="BI106" s="144" t="n">
        <f aca="false">G106*AP106</f>
        <v>0</v>
      </c>
      <c r="BJ106" s="144" t="n">
        <f aca="false">G106*H106</f>
        <v>0</v>
      </c>
      <c r="BK106" s="145" t="s">
        <v>180</v>
      </c>
      <c r="BL106" s="88" t="n">
        <v>18</v>
      </c>
      <c r="BW106" s="88" t="n">
        <v>21</v>
      </c>
      <c r="BX106" s="146" t="s">
        <v>429</v>
      </c>
    </row>
    <row r="107" customFormat="false" ht="15" hidden="false" customHeight="true" outlineLevel="0" collapsed="false">
      <c r="A107" s="139" t="s">
        <v>430</v>
      </c>
      <c r="B107" s="139" t="s">
        <v>109</v>
      </c>
      <c r="C107" s="139" t="s">
        <v>431</v>
      </c>
      <c r="D107" s="140" t="s">
        <v>432</v>
      </c>
      <c r="E107" s="140"/>
      <c r="F107" s="139" t="s">
        <v>202</v>
      </c>
      <c r="G107" s="141" t="n">
        <v>8</v>
      </c>
      <c r="H107" s="142"/>
      <c r="I107" s="142" t="n">
        <f aca="false">ROUND(G107*AO107,2)</f>
        <v>0</v>
      </c>
      <c r="J107" s="142" t="n">
        <f aca="false">ROUND(G107*AP107,2)</f>
        <v>0</v>
      </c>
      <c r="K107" s="142" t="n">
        <f aca="false">ROUND(G107*H107,2)</f>
        <v>0</v>
      </c>
      <c r="L107" s="142" t="n">
        <v>0.001</v>
      </c>
      <c r="M107" s="142" t="n">
        <f aca="false">G107*L107</f>
        <v>0.008</v>
      </c>
      <c r="N107" s="143"/>
      <c r="Z107" s="88" t="n">
        <f aca="false">ROUND(IF(AQ107="5",BJ107,0),2)</f>
        <v>0</v>
      </c>
      <c r="AB107" s="88" t="n">
        <f aca="false">ROUND(IF(AQ107="1",BH107,0),2)</f>
        <v>0</v>
      </c>
      <c r="AC107" s="88" t="n">
        <f aca="false">ROUND(IF(AQ107="1",BI107,0),2)</f>
        <v>0</v>
      </c>
      <c r="AD107" s="88" t="n">
        <f aca="false">ROUND(IF(AQ107="7",BH107,0),2)</f>
        <v>0</v>
      </c>
      <c r="AE107" s="88" t="n">
        <f aca="false">ROUND(IF(AQ107="7",BI107,0),2)</f>
        <v>0</v>
      </c>
      <c r="AF107" s="88" t="n">
        <f aca="false">ROUND(IF(AQ107="2",BH107,0),2)</f>
        <v>0</v>
      </c>
      <c r="AG107" s="88" t="n">
        <f aca="false">ROUND(IF(AQ107="2",BI107,0),2)</f>
        <v>0</v>
      </c>
      <c r="AH107" s="88" t="n">
        <f aca="false">ROUND(IF(AQ107="0",BJ107,0),2)</f>
        <v>0</v>
      </c>
      <c r="AI107" s="116" t="s">
        <v>109</v>
      </c>
      <c r="AJ107" s="144" t="n">
        <f aca="false">IF(AN107=0,K107,0)</f>
        <v>0</v>
      </c>
      <c r="AK107" s="144" t="n">
        <f aca="false">IF(AN107=12,K107,0)</f>
        <v>0</v>
      </c>
      <c r="AL107" s="144" t="n">
        <f aca="false">IF(AN107=21,K107,0)</f>
        <v>0</v>
      </c>
      <c r="AN107" s="88" t="n">
        <v>21</v>
      </c>
      <c r="AO107" s="88" t="n">
        <f aca="false">H107*1</f>
        <v>0</v>
      </c>
      <c r="AP107" s="88" t="n">
        <f aca="false">H107*(1-1)</f>
        <v>0</v>
      </c>
      <c r="AQ107" s="145" t="s">
        <v>151</v>
      </c>
      <c r="AV107" s="88" t="n">
        <f aca="false">ROUND(AW107+AX107,2)</f>
        <v>0</v>
      </c>
      <c r="AW107" s="88" t="n">
        <f aca="false">ROUND(G107*AO107,2)</f>
        <v>0</v>
      </c>
      <c r="AX107" s="88" t="n">
        <f aca="false">ROUND(G107*AP107,2)</f>
        <v>0</v>
      </c>
      <c r="AY107" s="87" t="s">
        <v>389</v>
      </c>
      <c r="AZ107" s="87" t="s">
        <v>367</v>
      </c>
      <c r="BA107" s="116" t="s">
        <v>368</v>
      </c>
      <c r="BC107" s="88" t="n">
        <f aca="false">AW107+AX107</f>
        <v>0</v>
      </c>
      <c r="BD107" s="88" t="n">
        <f aca="false">H107/(100-BE107)*100</f>
        <v>0</v>
      </c>
      <c r="BE107" s="88" t="n">
        <v>0</v>
      </c>
      <c r="BF107" s="88" t="n">
        <f aca="false">M107</f>
        <v>0.008</v>
      </c>
      <c r="BH107" s="144" t="n">
        <f aca="false">G107*AO107</f>
        <v>0</v>
      </c>
      <c r="BI107" s="144" t="n">
        <f aca="false">G107*AP107</f>
        <v>0</v>
      </c>
      <c r="BJ107" s="144" t="n">
        <f aca="false">G107*H107</f>
        <v>0</v>
      </c>
      <c r="BK107" s="145" t="s">
        <v>180</v>
      </c>
      <c r="BL107" s="88" t="n">
        <v>18</v>
      </c>
      <c r="BW107" s="88" t="n">
        <v>21</v>
      </c>
      <c r="BX107" s="146" t="s">
        <v>432</v>
      </c>
    </row>
    <row r="108" customFormat="false" ht="15" hidden="false" customHeight="true" outlineLevel="0" collapsed="false">
      <c r="A108" s="139" t="s">
        <v>433</v>
      </c>
      <c r="B108" s="139" t="s">
        <v>109</v>
      </c>
      <c r="C108" s="139" t="s">
        <v>434</v>
      </c>
      <c r="D108" s="140" t="s">
        <v>435</v>
      </c>
      <c r="E108" s="140"/>
      <c r="F108" s="139" t="s">
        <v>202</v>
      </c>
      <c r="G108" s="141" t="n">
        <v>17</v>
      </c>
      <c r="H108" s="142"/>
      <c r="I108" s="142" t="n">
        <f aca="false">ROUND(G108*AO108,2)</f>
        <v>0</v>
      </c>
      <c r="J108" s="142" t="n">
        <f aca="false">ROUND(G108*AP108,2)</f>
        <v>0</v>
      </c>
      <c r="K108" s="142" t="n">
        <f aca="false">ROUND(G108*H108,2)</f>
        <v>0</v>
      </c>
      <c r="L108" s="142" t="n">
        <v>0.001</v>
      </c>
      <c r="M108" s="142" t="n">
        <f aca="false">G108*L108</f>
        <v>0.017</v>
      </c>
      <c r="N108" s="143"/>
      <c r="Z108" s="88" t="n">
        <f aca="false">ROUND(IF(AQ108="5",BJ108,0),2)</f>
        <v>0</v>
      </c>
      <c r="AB108" s="88" t="n">
        <f aca="false">ROUND(IF(AQ108="1",BH108,0),2)</f>
        <v>0</v>
      </c>
      <c r="AC108" s="88" t="n">
        <f aca="false">ROUND(IF(AQ108="1",BI108,0),2)</f>
        <v>0</v>
      </c>
      <c r="AD108" s="88" t="n">
        <f aca="false">ROUND(IF(AQ108="7",BH108,0),2)</f>
        <v>0</v>
      </c>
      <c r="AE108" s="88" t="n">
        <f aca="false">ROUND(IF(AQ108="7",BI108,0),2)</f>
        <v>0</v>
      </c>
      <c r="AF108" s="88" t="n">
        <f aca="false">ROUND(IF(AQ108="2",BH108,0),2)</f>
        <v>0</v>
      </c>
      <c r="AG108" s="88" t="n">
        <f aca="false">ROUND(IF(AQ108="2",BI108,0),2)</f>
        <v>0</v>
      </c>
      <c r="AH108" s="88" t="n">
        <f aca="false">ROUND(IF(AQ108="0",BJ108,0),2)</f>
        <v>0</v>
      </c>
      <c r="AI108" s="116" t="s">
        <v>109</v>
      </c>
      <c r="AJ108" s="144" t="n">
        <f aca="false">IF(AN108=0,K108,0)</f>
        <v>0</v>
      </c>
      <c r="AK108" s="144" t="n">
        <f aca="false">IF(AN108=12,K108,0)</f>
        <v>0</v>
      </c>
      <c r="AL108" s="144" t="n">
        <f aca="false">IF(AN108=21,K108,0)</f>
        <v>0</v>
      </c>
      <c r="AN108" s="88" t="n">
        <v>21</v>
      </c>
      <c r="AO108" s="88" t="n">
        <f aca="false">H108*1</f>
        <v>0</v>
      </c>
      <c r="AP108" s="88" t="n">
        <f aca="false">H108*(1-1)</f>
        <v>0</v>
      </c>
      <c r="AQ108" s="145" t="s">
        <v>151</v>
      </c>
      <c r="AV108" s="88" t="n">
        <f aca="false">ROUND(AW108+AX108,2)</f>
        <v>0</v>
      </c>
      <c r="AW108" s="88" t="n">
        <f aca="false">ROUND(G108*AO108,2)</f>
        <v>0</v>
      </c>
      <c r="AX108" s="88" t="n">
        <f aca="false">ROUND(G108*AP108,2)</f>
        <v>0</v>
      </c>
      <c r="AY108" s="87" t="s">
        <v>389</v>
      </c>
      <c r="AZ108" s="87" t="s">
        <v>367</v>
      </c>
      <c r="BA108" s="116" t="s">
        <v>368</v>
      </c>
      <c r="BC108" s="88" t="n">
        <f aca="false">AW108+AX108</f>
        <v>0</v>
      </c>
      <c r="BD108" s="88" t="n">
        <f aca="false">H108/(100-BE108)*100</f>
        <v>0</v>
      </c>
      <c r="BE108" s="88" t="n">
        <v>0</v>
      </c>
      <c r="BF108" s="88" t="n">
        <f aca="false">M108</f>
        <v>0.017</v>
      </c>
      <c r="BH108" s="144" t="n">
        <f aca="false">G108*AO108</f>
        <v>0</v>
      </c>
      <c r="BI108" s="144" t="n">
        <f aca="false">G108*AP108</f>
        <v>0</v>
      </c>
      <c r="BJ108" s="144" t="n">
        <f aca="false">G108*H108</f>
        <v>0</v>
      </c>
      <c r="BK108" s="145" t="s">
        <v>180</v>
      </c>
      <c r="BL108" s="88" t="n">
        <v>18</v>
      </c>
      <c r="BW108" s="88" t="n">
        <v>21</v>
      </c>
      <c r="BX108" s="146" t="s">
        <v>435</v>
      </c>
    </row>
    <row r="109" customFormat="false" ht="15" hidden="false" customHeight="true" outlineLevel="0" collapsed="false">
      <c r="A109" s="139" t="s">
        <v>436</v>
      </c>
      <c r="B109" s="139" t="s">
        <v>109</v>
      </c>
      <c r="C109" s="139" t="s">
        <v>437</v>
      </c>
      <c r="D109" s="140" t="s">
        <v>438</v>
      </c>
      <c r="E109" s="140"/>
      <c r="F109" s="139" t="s">
        <v>202</v>
      </c>
      <c r="G109" s="141" t="n">
        <v>8</v>
      </c>
      <c r="H109" s="142"/>
      <c r="I109" s="142" t="n">
        <f aca="false">ROUND(G109*AO109,2)</f>
        <v>0</v>
      </c>
      <c r="J109" s="142" t="n">
        <f aca="false">ROUND(G109*AP109,2)</f>
        <v>0</v>
      </c>
      <c r="K109" s="142" t="n">
        <f aca="false">ROUND(G109*H109,2)</f>
        <v>0</v>
      </c>
      <c r="L109" s="142" t="n">
        <v>0.001</v>
      </c>
      <c r="M109" s="142" t="n">
        <f aca="false">G109*L109</f>
        <v>0.008</v>
      </c>
      <c r="N109" s="143"/>
      <c r="Z109" s="88" t="n">
        <f aca="false">ROUND(IF(AQ109="5",BJ109,0),2)</f>
        <v>0</v>
      </c>
      <c r="AB109" s="88" t="n">
        <f aca="false">ROUND(IF(AQ109="1",BH109,0),2)</f>
        <v>0</v>
      </c>
      <c r="AC109" s="88" t="n">
        <f aca="false">ROUND(IF(AQ109="1",BI109,0),2)</f>
        <v>0</v>
      </c>
      <c r="AD109" s="88" t="n">
        <f aca="false">ROUND(IF(AQ109="7",BH109,0),2)</f>
        <v>0</v>
      </c>
      <c r="AE109" s="88" t="n">
        <f aca="false">ROUND(IF(AQ109="7",BI109,0),2)</f>
        <v>0</v>
      </c>
      <c r="AF109" s="88" t="n">
        <f aca="false">ROUND(IF(AQ109="2",BH109,0),2)</f>
        <v>0</v>
      </c>
      <c r="AG109" s="88" t="n">
        <f aca="false">ROUND(IF(AQ109="2",BI109,0),2)</f>
        <v>0</v>
      </c>
      <c r="AH109" s="88" t="n">
        <f aca="false">ROUND(IF(AQ109="0",BJ109,0),2)</f>
        <v>0</v>
      </c>
      <c r="AI109" s="116" t="s">
        <v>109</v>
      </c>
      <c r="AJ109" s="144" t="n">
        <f aca="false">IF(AN109=0,K109,0)</f>
        <v>0</v>
      </c>
      <c r="AK109" s="144" t="n">
        <f aca="false">IF(AN109=12,K109,0)</f>
        <v>0</v>
      </c>
      <c r="AL109" s="144" t="n">
        <f aca="false">IF(AN109=21,K109,0)</f>
        <v>0</v>
      </c>
      <c r="AN109" s="88" t="n">
        <v>21</v>
      </c>
      <c r="AO109" s="88" t="n">
        <f aca="false">H109*1</f>
        <v>0</v>
      </c>
      <c r="AP109" s="88" t="n">
        <f aca="false">H109*(1-1)</f>
        <v>0</v>
      </c>
      <c r="AQ109" s="145" t="s">
        <v>151</v>
      </c>
      <c r="AV109" s="88" t="n">
        <f aca="false">ROUND(AW109+AX109,2)</f>
        <v>0</v>
      </c>
      <c r="AW109" s="88" t="n">
        <f aca="false">ROUND(G109*AO109,2)</f>
        <v>0</v>
      </c>
      <c r="AX109" s="88" t="n">
        <f aca="false">ROUND(G109*AP109,2)</f>
        <v>0</v>
      </c>
      <c r="AY109" s="87" t="s">
        <v>389</v>
      </c>
      <c r="AZ109" s="87" t="s">
        <v>367</v>
      </c>
      <c r="BA109" s="116" t="s">
        <v>368</v>
      </c>
      <c r="BC109" s="88" t="n">
        <f aca="false">AW109+AX109</f>
        <v>0</v>
      </c>
      <c r="BD109" s="88" t="n">
        <f aca="false">H109/(100-BE109)*100</f>
        <v>0</v>
      </c>
      <c r="BE109" s="88" t="n">
        <v>0</v>
      </c>
      <c r="BF109" s="88" t="n">
        <f aca="false">M109</f>
        <v>0.008</v>
      </c>
      <c r="BH109" s="144" t="n">
        <f aca="false">G109*AO109</f>
        <v>0</v>
      </c>
      <c r="BI109" s="144" t="n">
        <f aca="false">G109*AP109</f>
        <v>0</v>
      </c>
      <c r="BJ109" s="144" t="n">
        <f aca="false">G109*H109</f>
        <v>0</v>
      </c>
      <c r="BK109" s="145" t="s">
        <v>180</v>
      </c>
      <c r="BL109" s="88" t="n">
        <v>18</v>
      </c>
      <c r="BW109" s="88" t="n">
        <v>21</v>
      </c>
      <c r="BX109" s="146" t="s">
        <v>438</v>
      </c>
    </row>
    <row r="110" customFormat="false" ht="15" hidden="false" customHeight="true" outlineLevel="0" collapsed="false">
      <c r="A110" s="139" t="s">
        <v>439</v>
      </c>
      <c r="B110" s="139" t="s">
        <v>109</v>
      </c>
      <c r="C110" s="139" t="s">
        <v>440</v>
      </c>
      <c r="D110" s="140" t="s">
        <v>441</v>
      </c>
      <c r="E110" s="140"/>
      <c r="F110" s="139" t="s">
        <v>202</v>
      </c>
      <c r="G110" s="141" t="n">
        <v>6</v>
      </c>
      <c r="H110" s="142"/>
      <c r="I110" s="142" t="n">
        <f aca="false">ROUND(G110*AO110,2)</f>
        <v>0</v>
      </c>
      <c r="J110" s="142" t="n">
        <f aca="false">ROUND(G110*AP110,2)</f>
        <v>0</v>
      </c>
      <c r="K110" s="142" t="n">
        <f aca="false">ROUND(G110*H110,2)</f>
        <v>0</v>
      </c>
      <c r="L110" s="142" t="n">
        <v>0.001</v>
      </c>
      <c r="M110" s="142" t="n">
        <f aca="false">G110*L110</f>
        <v>0.006</v>
      </c>
      <c r="N110" s="143"/>
      <c r="Z110" s="88" t="n">
        <f aca="false">ROUND(IF(AQ110="5",BJ110,0),2)</f>
        <v>0</v>
      </c>
      <c r="AB110" s="88" t="n">
        <f aca="false">ROUND(IF(AQ110="1",BH110,0),2)</f>
        <v>0</v>
      </c>
      <c r="AC110" s="88" t="n">
        <f aca="false">ROUND(IF(AQ110="1",BI110,0),2)</f>
        <v>0</v>
      </c>
      <c r="AD110" s="88" t="n">
        <f aca="false">ROUND(IF(AQ110="7",BH110,0),2)</f>
        <v>0</v>
      </c>
      <c r="AE110" s="88" t="n">
        <f aca="false">ROUND(IF(AQ110="7",BI110,0),2)</f>
        <v>0</v>
      </c>
      <c r="AF110" s="88" t="n">
        <f aca="false">ROUND(IF(AQ110="2",BH110,0),2)</f>
        <v>0</v>
      </c>
      <c r="AG110" s="88" t="n">
        <f aca="false">ROUND(IF(AQ110="2",BI110,0),2)</f>
        <v>0</v>
      </c>
      <c r="AH110" s="88" t="n">
        <f aca="false">ROUND(IF(AQ110="0",BJ110,0),2)</f>
        <v>0</v>
      </c>
      <c r="AI110" s="116" t="s">
        <v>109</v>
      </c>
      <c r="AJ110" s="144" t="n">
        <f aca="false">IF(AN110=0,K110,0)</f>
        <v>0</v>
      </c>
      <c r="AK110" s="144" t="n">
        <f aca="false">IF(AN110=12,K110,0)</f>
        <v>0</v>
      </c>
      <c r="AL110" s="144" t="n">
        <f aca="false">IF(AN110=21,K110,0)</f>
        <v>0</v>
      </c>
      <c r="AN110" s="88" t="n">
        <v>21</v>
      </c>
      <c r="AO110" s="88" t="n">
        <f aca="false">H110*1</f>
        <v>0</v>
      </c>
      <c r="AP110" s="88" t="n">
        <f aca="false">H110*(1-1)</f>
        <v>0</v>
      </c>
      <c r="AQ110" s="145" t="s">
        <v>151</v>
      </c>
      <c r="AV110" s="88" t="n">
        <f aca="false">ROUND(AW110+AX110,2)</f>
        <v>0</v>
      </c>
      <c r="AW110" s="88" t="n">
        <f aca="false">ROUND(G110*AO110,2)</f>
        <v>0</v>
      </c>
      <c r="AX110" s="88" t="n">
        <f aca="false">ROUND(G110*AP110,2)</f>
        <v>0</v>
      </c>
      <c r="AY110" s="87" t="s">
        <v>389</v>
      </c>
      <c r="AZ110" s="87" t="s">
        <v>367</v>
      </c>
      <c r="BA110" s="116" t="s">
        <v>368</v>
      </c>
      <c r="BC110" s="88" t="n">
        <f aca="false">AW110+AX110</f>
        <v>0</v>
      </c>
      <c r="BD110" s="88" t="n">
        <f aca="false">H110/(100-BE110)*100</f>
        <v>0</v>
      </c>
      <c r="BE110" s="88" t="n">
        <v>0</v>
      </c>
      <c r="BF110" s="88" t="n">
        <f aca="false">M110</f>
        <v>0.006</v>
      </c>
      <c r="BH110" s="144" t="n">
        <f aca="false">G110*AO110</f>
        <v>0</v>
      </c>
      <c r="BI110" s="144" t="n">
        <f aca="false">G110*AP110</f>
        <v>0</v>
      </c>
      <c r="BJ110" s="144" t="n">
        <f aca="false">G110*H110</f>
        <v>0</v>
      </c>
      <c r="BK110" s="145" t="s">
        <v>180</v>
      </c>
      <c r="BL110" s="88" t="n">
        <v>18</v>
      </c>
      <c r="BW110" s="88" t="n">
        <v>21</v>
      </c>
      <c r="BX110" s="146" t="s">
        <v>441</v>
      </c>
    </row>
    <row r="111" customFormat="false" ht="15" hidden="false" customHeight="true" outlineLevel="0" collapsed="false">
      <c r="A111" s="139" t="s">
        <v>442</v>
      </c>
      <c r="B111" s="139" t="s">
        <v>109</v>
      </c>
      <c r="C111" s="139" t="s">
        <v>443</v>
      </c>
      <c r="D111" s="140" t="s">
        <v>444</v>
      </c>
      <c r="E111" s="140"/>
      <c r="F111" s="139" t="s">
        <v>202</v>
      </c>
      <c r="G111" s="141" t="n">
        <v>9</v>
      </c>
      <c r="H111" s="142"/>
      <c r="I111" s="142" t="n">
        <f aca="false">ROUND(G111*AO111,2)</f>
        <v>0</v>
      </c>
      <c r="J111" s="142" t="n">
        <f aca="false">ROUND(G111*AP111,2)</f>
        <v>0</v>
      </c>
      <c r="K111" s="142" t="n">
        <f aca="false">ROUND(G111*H111,2)</f>
        <v>0</v>
      </c>
      <c r="L111" s="142" t="n">
        <v>0.001</v>
      </c>
      <c r="M111" s="142" t="n">
        <f aca="false">G111*L111</f>
        <v>0.009</v>
      </c>
      <c r="N111" s="143"/>
      <c r="Z111" s="88" t="n">
        <f aca="false">ROUND(IF(AQ111="5",BJ111,0),2)</f>
        <v>0</v>
      </c>
      <c r="AB111" s="88" t="n">
        <f aca="false">ROUND(IF(AQ111="1",BH111,0),2)</f>
        <v>0</v>
      </c>
      <c r="AC111" s="88" t="n">
        <f aca="false">ROUND(IF(AQ111="1",BI111,0),2)</f>
        <v>0</v>
      </c>
      <c r="AD111" s="88" t="n">
        <f aca="false">ROUND(IF(AQ111="7",BH111,0),2)</f>
        <v>0</v>
      </c>
      <c r="AE111" s="88" t="n">
        <f aca="false">ROUND(IF(AQ111="7",BI111,0),2)</f>
        <v>0</v>
      </c>
      <c r="AF111" s="88" t="n">
        <f aca="false">ROUND(IF(AQ111="2",BH111,0),2)</f>
        <v>0</v>
      </c>
      <c r="AG111" s="88" t="n">
        <f aca="false">ROUND(IF(AQ111="2",BI111,0),2)</f>
        <v>0</v>
      </c>
      <c r="AH111" s="88" t="n">
        <f aca="false">ROUND(IF(AQ111="0",BJ111,0),2)</f>
        <v>0</v>
      </c>
      <c r="AI111" s="116" t="s">
        <v>109</v>
      </c>
      <c r="AJ111" s="144" t="n">
        <f aca="false">IF(AN111=0,K111,0)</f>
        <v>0</v>
      </c>
      <c r="AK111" s="144" t="n">
        <f aca="false">IF(AN111=12,K111,0)</f>
        <v>0</v>
      </c>
      <c r="AL111" s="144" t="n">
        <f aca="false">IF(AN111=21,K111,0)</f>
        <v>0</v>
      </c>
      <c r="AN111" s="88" t="n">
        <v>21</v>
      </c>
      <c r="AO111" s="88" t="n">
        <f aca="false">H111*1</f>
        <v>0</v>
      </c>
      <c r="AP111" s="88" t="n">
        <f aca="false">H111*(1-1)</f>
        <v>0</v>
      </c>
      <c r="AQ111" s="145" t="s">
        <v>151</v>
      </c>
      <c r="AV111" s="88" t="n">
        <f aca="false">ROUND(AW111+AX111,2)</f>
        <v>0</v>
      </c>
      <c r="AW111" s="88" t="n">
        <f aca="false">ROUND(G111*AO111,2)</f>
        <v>0</v>
      </c>
      <c r="AX111" s="88" t="n">
        <f aca="false">ROUND(G111*AP111,2)</f>
        <v>0</v>
      </c>
      <c r="AY111" s="87" t="s">
        <v>389</v>
      </c>
      <c r="AZ111" s="87" t="s">
        <v>367</v>
      </c>
      <c r="BA111" s="116" t="s">
        <v>368</v>
      </c>
      <c r="BC111" s="88" t="n">
        <f aca="false">AW111+AX111</f>
        <v>0</v>
      </c>
      <c r="BD111" s="88" t="n">
        <f aca="false">H111/(100-BE111)*100</f>
        <v>0</v>
      </c>
      <c r="BE111" s="88" t="n">
        <v>0</v>
      </c>
      <c r="BF111" s="88" t="n">
        <f aca="false">M111</f>
        <v>0.009</v>
      </c>
      <c r="BH111" s="144" t="n">
        <f aca="false">G111*AO111</f>
        <v>0</v>
      </c>
      <c r="BI111" s="144" t="n">
        <f aca="false">G111*AP111</f>
        <v>0</v>
      </c>
      <c r="BJ111" s="144" t="n">
        <f aca="false">G111*H111</f>
        <v>0</v>
      </c>
      <c r="BK111" s="145" t="s">
        <v>180</v>
      </c>
      <c r="BL111" s="88" t="n">
        <v>18</v>
      </c>
      <c r="BW111" s="88" t="n">
        <v>21</v>
      </c>
      <c r="BX111" s="146" t="s">
        <v>444</v>
      </c>
    </row>
    <row r="112" customFormat="false" ht="15" hidden="false" customHeight="true" outlineLevel="0" collapsed="false">
      <c r="A112" s="139" t="s">
        <v>445</v>
      </c>
      <c r="B112" s="139" t="s">
        <v>109</v>
      </c>
      <c r="C112" s="139" t="s">
        <v>446</v>
      </c>
      <c r="D112" s="140" t="s">
        <v>447</v>
      </c>
      <c r="E112" s="140"/>
      <c r="F112" s="139" t="s">
        <v>202</v>
      </c>
      <c r="G112" s="141" t="n">
        <v>3</v>
      </c>
      <c r="H112" s="142"/>
      <c r="I112" s="142" t="n">
        <f aca="false">ROUND(G112*AO112,2)</f>
        <v>0</v>
      </c>
      <c r="J112" s="142" t="n">
        <f aca="false">ROUND(G112*AP112,2)</f>
        <v>0</v>
      </c>
      <c r="K112" s="142" t="n">
        <f aca="false">ROUND(G112*H112,2)</f>
        <v>0</v>
      </c>
      <c r="L112" s="142" t="n">
        <v>0.001</v>
      </c>
      <c r="M112" s="142" t="n">
        <f aca="false">G112*L112</f>
        <v>0.003</v>
      </c>
      <c r="N112" s="143"/>
      <c r="Z112" s="88" t="n">
        <f aca="false">ROUND(IF(AQ112="5",BJ112,0),2)</f>
        <v>0</v>
      </c>
      <c r="AB112" s="88" t="n">
        <f aca="false">ROUND(IF(AQ112="1",BH112,0),2)</f>
        <v>0</v>
      </c>
      <c r="AC112" s="88" t="n">
        <f aca="false">ROUND(IF(AQ112="1",BI112,0),2)</f>
        <v>0</v>
      </c>
      <c r="AD112" s="88" t="n">
        <f aca="false">ROUND(IF(AQ112="7",BH112,0),2)</f>
        <v>0</v>
      </c>
      <c r="AE112" s="88" t="n">
        <f aca="false">ROUND(IF(AQ112="7",BI112,0),2)</f>
        <v>0</v>
      </c>
      <c r="AF112" s="88" t="n">
        <f aca="false">ROUND(IF(AQ112="2",BH112,0),2)</f>
        <v>0</v>
      </c>
      <c r="AG112" s="88" t="n">
        <f aca="false">ROUND(IF(AQ112="2",BI112,0),2)</f>
        <v>0</v>
      </c>
      <c r="AH112" s="88" t="n">
        <f aca="false">ROUND(IF(AQ112="0",BJ112,0),2)</f>
        <v>0</v>
      </c>
      <c r="AI112" s="116" t="s">
        <v>109</v>
      </c>
      <c r="AJ112" s="144" t="n">
        <f aca="false">IF(AN112=0,K112,0)</f>
        <v>0</v>
      </c>
      <c r="AK112" s="144" t="n">
        <f aca="false">IF(AN112=12,K112,0)</f>
        <v>0</v>
      </c>
      <c r="AL112" s="144" t="n">
        <f aca="false">IF(AN112=21,K112,0)</f>
        <v>0</v>
      </c>
      <c r="AN112" s="88" t="n">
        <v>21</v>
      </c>
      <c r="AO112" s="88" t="n">
        <f aca="false">H112*1</f>
        <v>0</v>
      </c>
      <c r="AP112" s="88" t="n">
        <f aca="false">H112*(1-1)</f>
        <v>0</v>
      </c>
      <c r="AQ112" s="145" t="s">
        <v>151</v>
      </c>
      <c r="AV112" s="88" t="n">
        <f aca="false">ROUND(AW112+AX112,2)</f>
        <v>0</v>
      </c>
      <c r="AW112" s="88" t="n">
        <f aca="false">ROUND(G112*AO112,2)</f>
        <v>0</v>
      </c>
      <c r="AX112" s="88" t="n">
        <f aca="false">ROUND(G112*AP112,2)</f>
        <v>0</v>
      </c>
      <c r="AY112" s="87" t="s">
        <v>389</v>
      </c>
      <c r="AZ112" s="87" t="s">
        <v>367</v>
      </c>
      <c r="BA112" s="116" t="s">
        <v>368</v>
      </c>
      <c r="BC112" s="88" t="n">
        <f aca="false">AW112+AX112</f>
        <v>0</v>
      </c>
      <c r="BD112" s="88" t="n">
        <f aca="false">H112/(100-BE112)*100</f>
        <v>0</v>
      </c>
      <c r="BE112" s="88" t="n">
        <v>0</v>
      </c>
      <c r="BF112" s="88" t="n">
        <f aca="false">M112</f>
        <v>0.003</v>
      </c>
      <c r="BH112" s="144" t="n">
        <f aca="false">G112*AO112</f>
        <v>0</v>
      </c>
      <c r="BI112" s="144" t="n">
        <f aca="false">G112*AP112</f>
        <v>0</v>
      </c>
      <c r="BJ112" s="144" t="n">
        <f aca="false">G112*H112</f>
        <v>0</v>
      </c>
      <c r="BK112" s="145" t="s">
        <v>180</v>
      </c>
      <c r="BL112" s="88" t="n">
        <v>18</v>
      </c>
      <c r="BW112" s="88" t="n">
        <v>21</v>
      </c>
      <c r="BX112" s="146" t="s">
        <v>447</v>
      </c>
    </row>
    <row r="113" customFormat="false" ht="15" hidden="false" customHeight="true" outlineLevel="0" collapsed="false">
      <c r="A113" s="139" t="s">
        <v>448</v>
      </c>
      <c r="B113" s="139" t="s">
        <v>109</v>
      </c>
      <c r="C113" s="139" t="s">
        <v>449</v>
      </c>
      <c r="D113" s="140" t="s">
        <v>450</v>
      </c>
      <c r="E113" s="140"/>
      <c r="F113" s="139" t="s">
        <v>202</v>
      </c>
      <c r="G113" s="141" t="n">
        <v>16</v>
      </c>
      <c r="H113" s="142"/>
      <c r="I113" s="142" t="n">
        <f aca="false">ROUND(G113*AO113,2)</f>
        <v>0</v>
      </c>
      <c r="J113" s="142" t="n">
        <f aca="false">ROUND(G113*AP113,2)</f>
        <v>0</v>
      </c>
      <c r="K113" s="142" t="n">
        <f aca="false">ROUND(G113*H113,2)</f>
        <v>0</v>
      </c>
      <c r="L113" s="142" t="n">
        <v>0.001</v>
      </c>
      <c r="M113" s="142" t="n">
        <f aca="false">G113*L113</f>
        <v>0.016</v>
      </c>
      <c r="N113" s="143"/>
      <c r="Z113" s="88" t="n">
        <f aca="false">ROUND(IF(AQ113="5",BJ113,0),2)</f>
        <v>0</v>
      </c>
      <c r="AB113" s="88" t="n">
        <f aca="false">ROUND(IF(AQ113="1",BH113,0),2)</f>
        <v>0</v>
      </c>
      <c r="AC113" s="88" t="n">
        <f aca="false">ROUND(IF(AQ113="1",BI113,0),2)</f>
        <v>0</v>
      </c>
      <c r="AD113" s="88" t="n">
        <f aca="false">ROUND(IF(AQ113="7",BH113,0),2)</f>
        <v>0</v>
      </c>
      <c r="AE113" s="88" t="n">
        <f aca="false">ROUND(IF(AQ113="7",BI113,0),2)</f>
        <v>0</v>
      </c>
      <c r="AF113" s="88" t="n">
        <f aca="false">ROUND(IF(AQ113="2",BH113,0),2)</f>
        <v>0</v>
      </c>
      <c r="AG113" s="88" t="n">
        <f aca="false">ROUND(IF(AQ113="2",BI113,0),2)</f>
        <v>0</v>
      </c>
      <c r="AH113" s="88" t="n">
        <f aca="false">ROUND(IF(AQ113="0",BJ113,0),2)</f>
        <v>0</v>
      </c>
      <c r="AI113" s="116" t="s">
        <v>109</v>
      </c>
      <c r="AJ113" s="144" t="n">
        <f aca="false">IF(AN113=0,K113,0)</f>
        <v>0</v>
      </c>
      <c r="AK113" s="144" t="n">
        <f aca="false">IF(AN113=12,K113,0)</f>
        <v>0</v>
      </c>
      <c r="AL113" s="144" t="n">
        <f aca="false">IF(AN113=21,K113,0)</f>
        <v>0</v>
      </c>
      <c r="AN113" s="88" t="n">
        <v>21</v>
      </c>
      <c r="AO113" s="88" t="n">
        <f aca="false">H113*1</f>
        <v>0</v>
      </c>
      <c r="AP113" s="88" t="n">
        <f aca="false">H113*(1-1)</f>
        <v>0</v>
      </c>
      <c r="AQ113" s="145" t="s">
        <v>151</v>
      </c>
      <c r="AV113" s="88" t="n">
        <f aca="false">ROUND(AW113+AX113,2)</f>
        <v>0</v>
      </c>
      <c r="AW113" s="88" t="n">
        <f aca="false">ROUND(G113*AO113,2)</f>
        <v>0</v>
      </c>
      <c r="AX113" s="88" t="n">
        <f aca="false">ROUND(G113*AP113,2)</f>
        <v>0</v>
      </c>
      <c r="AY113" s="87" t="s">
        <v>389</v>
      </c>
      <c r="AZ113" s="87" t="s">
        <v>367</v>
      </c>
      <c r="BA113" s="116" t="s">
        <v>368</v>
      </c>
      <c r="BC113" s="88" t="n">
        <f aca="false">AW113+AX113</f>
        <v>0</v>
      </c>
      <c r="BD113" s="88" t="n">
        <f aca="false">H113/(100-BE113)*100</f>
        <v>0</v>
      </c>
      <c r="BE113" s="88" t="n">
        <v>0</v>
      </c>
      <c r="BF113" s="88" t="n">
        <f aca="false">M113</f>
        <v>0.016</v>
      </c>
      <c r="BH113" s="144" t="n">
        <f aca="false">G113*AO113</f>
        <v>0</v>
      </c>
      <c r="BI113" s="144" t="n">
        <f aca="false">G113*AP113</f>
        <v>0</v>
      </c>
      <c r="BJ113" s="144" t="n">
        <f aca="false">G113*H113</f>
        <v>0</v>
      </c>
      <c r="BK113" s="145" t="s">
        <v>180</v>
      </c>
      <c r="BL113" s="88" t="n">
        <v>18</v>
      </c>
      <c r="BW113" s="88" t="n">
        <v>21</v>
      </c>
      <c r="BX113" s="146" t="s">
        <v>450</v>
      </c>
    </row>
    <row r="114" customFormat="false" ht="15" hidden="false" customHeight="true" outlineLevel="0" collapsed="false">
      <c r="A114" s="139" t="s">
        <v>451</v>
      </c>
      <c r="B114" s="139" t="s">
        <v>109</v>
      </c>
      <c r="C114" s="139" t="s">
        <v>452</v>
      </c>
      <c r="D114" s="140" t="s">
        <v>453</v>
      </c>
      <c r="E114" s="140"/>
      <c r="F114" s="139" t="s">
        <v>202</v>
      </c>
      <c r="G114" s="141" t="n">
        <v>10</v>
      </c>
      <c r="H114" s="142"/>
      <c r="I114" s="142" t="n">
        <f aca="false">ROUND(G114*AO114,2)</f>
        <v>0</v>
      </c>
      <c r="J114" s="142" t="n">
        <f aca="false">ROUND(G114*AP114,2)</f>
        <v>0</v>
      </c>
      <c r="K114" s="142" t="n">
        <f aca="false">ROUND(G114*H114,2)</f>
        <v>0</v>
      </c>
      <c r="L114" s="142" t="n">
        <v>0.001</v>
      </c>
      <c r="M114" s="142" t="n">
        <f aca="false">G114*L114</f>
        <v>0.01</v>
      </c>
      <c r="N114" s="143"/>
      <c r="Z114" s="88" t="n">
        <f aca="false">ROUND(IF(AQ114="5",BJ114,0),2)</f>
        <v>0</v>
      </c>
      <c r="AB114" s="88" t="n">
        <f aca="false">ROUND(IF(AQ114="1",BH114,0),2)</f>
        <v>0</v>
      </c>
      <c r="AC114" s="88" t="n">
        <f aca="false">ROUND(IF(AQ114="1",BI114,0),2)</f>
        <v>0</v>
      </c>
      <c r="AD114" s="88" t="n">
        <f aca="false">ROUND(IF(AQ114="7",BH114,0),2)</f>
        <v>0</v>
      </c>
      <c r="AE114" s="88" t="n">
        <f aca="false">ROUND(IF(AQ114="7",BI114,0),2)</f>
        <v>0</v>
      </c>
      <c r="AF114" s="88" t="n">
        <f aca="false">ROUND(IF(AQ114="2",BH114,0),2)</f>
        <v>0</v>
      </c>
      <c r="AG114" s="88" t="n">
        <f aca="false">ROUND(IF(AQ114="2",BI114,0),2)</f>
        <v>0</v>
      </c>
      <c r="AH114" s="88" t="n">
        <f aca="false">ROUND(IF(AQ114="0",BJ114,0),2)</f>
        <v>0</v>
      </c>
      <c r="AI114" s="116" t="s">
        <v>109</v>
      </c>
      <c r="AJ114" s="144" t="n">
        <f aca="false">IF(AN114=0,K114,0)</f>
        <v>0</v>
      </c>
      <c r="AK114" s="144" t="n">
        <f aca="false">IF(AN114=12,K114,0)</f>
        <v>0</v>
      </c>
      <c r="AL114" s="144" t="n">
        <f aca="false">IF(AN114=21,K114,0)</f>
        <v>0</v>
      </c>
      <c r="AN114" s="88" t="n">
        <v>21</v>
      </c>
      <c r="AO114" s="88" t="n">
        <f aca="false">H114*1</f>
        <v>0</v>
      </c>
      <c r="AP114" s="88" t="n">
        <f aca="false">H114*(1-1)</f>
        <v>0</v>
      </c>
      <c r="AQ114" s="145" t="s">
        <v>151</v>
      </c>
      <c r="AV114" s="88" t="n">
        <f aca="false">ROUND(AW114+AX114,2)</f>
        <v>0</v>
      </c>
      <c r="AW114" s="88" t="n">
        <f aca="false">ROUND(G114*AO114,2)</f>
        <v>0</v>
      </c>
      <c r="AX114" s="88" t="n">
        <f aca="false">ROUND(G114*AP114,2)</f>
        <v>0</v>
      </c>
      <c r="AY114" s="87" t="s">
        <v>389</v>
      </c>
      <c r="AZ114" s="87" t="s">
        <v>367</v>
      </c>
      <c r="BA114" s="116" t="s">
        <v>368</v>
      </c>
      <c r="BC114" s="88" t="n">
        <f aca="false">AW114+AX114</f>
        <v>0</v>
      </c>
      <c r="BD114" s="88" t="n">
        <f aca="false">H114/(100-BE114)*100</f>
        <v>0</v>
      </c>
      <c r="BE114" s="88" t="n">
        <v>0</v>
      </c>
      <c r="BF114" s="88" t="n">
        <f aca="false">M114</f>
        <v>0.01</v>
      </c>
      <c r="BH114" s="144" t="n">
        <f aca="false">G114*AO114</f>
        <v>0</v>
      </c>
      <c r="BI114" s="144" t="n">
        <f aca="false">G114*AP114</f>
        <v>0</v>
      </c>
      <c r="BJ114" s="144" t="n">
        <f aca="false">G114*H114</f>
        <v>0</v>
      </c>
      <c r="BK114" s="145" t="s">
        <v>180</v>
      </c>
      <c r="BL114" s="88" t="n">
        <v>18</v>
      </c>
      <c r="BW114" s="88" t="n">
        <v>21</v>
      </c>
      <c r="BX114" s="146" t="s">
        <v>453</v>
      </c>
    </row>
    <row r="115" customFormat="false" ht="15" hidden="false" customHeight="true" outlineLevel="0" collapsed="false">
      <c r="A115" s="139" t="s">
        <v>336</v>
      </c>
      <c r="B115" s="139" t="s">
        <v>109</v>
      </c>
      <c r="C115" s="139" t="s">
        <v>454</v>
      </c>
      <c r="D115" s="140" t="s">
        <v>455</v>
      </c>
      <c r="E115" s="140"/>
      <c r="F115" s="139" t="s">
        <v>202</v>
      </c>
      <c r="G115" s="141" t="n">
        <v>7</v>
      </c>
      <c r="H115" s="142"/>
      <c r="I115" s="142" t="n">
        <f aca="false">ROUND(G115*AO115,2)</f>
        <v>0</v>
      </c>
      <c r="J115" s="142" t="n">
        <f aca="false">ROUND(G115*AP115,2)</f>
        <v>0</v>
      </c>
      <c r="K115" s="142" t="n">
        <f aca="false">ROUND(G115*H115,2)</f>
        <v>0</v>
      </c>
      <c r="L115" s="142" t="n">
        <v>0.001</v>
      </c>
      <c r="M115" s="142" t="n">
        <f aca="false">G115*L115</f>
        <v>0.007</v>
      </c>
      <c r="N115" s="143"/>
      <c r="Z115" s="88" t="n">
        <f aca="false">ROUND(IF(AQ115="5",BJ115,0),2)</f>
        <v>0</v>
      </c>
      <c r="AB115" s="88" t="n">
        <f aca="false">ROUND(IF(AQ115="1",BH115,0),2)</f>
        <v>0</v>
      </c>
      <c r="AC115" s="88" t="n">
        <f aca="false">ROUND(IF(AQ115="1",BI115,0),2)</f>
        <v>0</v>
      </c>
      <c r="AD115" s="88" t="n">
        <f aca="false">ROUND(IF(AQ115="7",BH115,0),2)</f>
        <v>0</v>
      </c>
      <c r="AE115" s="88" t="n">
        <f aca="false">ROUND(IF(AQ115="7",BI115,0),2)</f>
        <v>0</v>
      </c>
      <c r="AF115" s="88" t="n">
        <f aca="false">ROUND(IF(AQ115="2",BH115,0),2)</f>
        <v>0</v>
      </c>
      <c r="AG115" s="88" t="n">
        <f aca="false">ROUND(IF(AQ115="2",BI115,0),2)</f>
        <v>0</v>
      </c>
      <c r="AH115" s="88" t="n">
        <f aca="false">ROUND(IF(AQ115="0",BJ115,0),2)</f>
        <v>0</v>
      </c>
      <c r="AI115" s="116" t="s">
        <v>109</v>
      </c>
      <c r="AJ115" s="144" t="n">
        <f aca="false">IF(AN115=0,K115,0)</f>
        <v>0</v>
      </c>
      <c r="AK115" s="144" t="n">
        <f aca="false">IF(AN115=12,K115,0)</f>
        <v>0</v>
      </c>
      <c r="AL115" s="144" t="n">
        <f aca="false">IF(AN115=21,K115,0)</f>
        <v>0</v>
      </c>
      <c r="AN115" s="88" t="n">
        <v>21</v>
      </c>
      <c r="AO115" s="88" t="n">
        <f aca="false">H115*1</f>
        <v>0</v>
      </c>
      <c r="AP115" s="88" t="n">
        <f aca="false">H115*(1-1)</f>
        <v>0</v>
      </c>
      <c r="AQ115" s="145" t="s">
        <v>151</v>
      </c>
      <c r="AV115" s="88" t="n">
        <f aca="false">ROUND(AW115+AX115,2)</f>
        <v>0</v>
      </c>
      <c r="AW115" s="88" t="n">
        <f aca="false">ROUND(G115*AO115,2)</f>
        <v>0</v>
      </c>
      <c r="AX115" s="88" t="n">
        <f aca="false">ROUND(G115*AP115,2)</f>
        <v>0</v>
      </c>
      <c r="AY115" s="87" t="s">
        <v>389</v>
      </c>
      <c r="AZ115" s="87" t="s">
        <v>367</v>
      </c>
      <c r="BA115" s="116" t="s">
        <v>368</v>
      </c>
      <c r="BC115" s="88" t="n">
        <f aca="false">AW115+AX115</f>
        <v>0</v>
      </c>
      <c r="BD115" s="88" t="n">
        <f aca="false">H115/(100-BE115)*100</f>
        <v>0</v>
      </c>
      <c r="BE115" s="88" t="n">
        <v>0</v>
      </c>
      <c r="BF115" s="88" t="n">
        <f aca="false">M115</f>
        <v>0.007</v>
      </c>
      <c r="BH115" s="144" t="n">
        <f aca="false">G115*AO115</f>
        <v>0</v>
      </c>
      <c r="BI115" s="144" t="n">
        <f aca="false">G115*AP115</f>
        <v>0</v>
      </c>
      <c r="BJ115" s="144" t="n">
        <f aca="false">G115*H115</f>
        <v>0</v>
      </c>
      <c r="BK115" s="145" t="s">
        <v>180</v>
      </c>
      <c r="BL115" s="88" t="n">
        <v>18</v>
      </c>
      <c r="BW115" s="88" t="n">
        <v>21</v>
      </c>
      <c r="BX115" s="146" t="s">
        <v>455</v>
      </c>
    </row>
    <row r="116" customFormat="false" ht="15" hidden="false" customHeight="true" outlineLevel="0" collapsed="false">
      <c r="A116" s="139" t="s">
        <v>346</v>
      </c>
      <c r="B116" s="139" t="s">
        <v>109</v>
      </c>
      <c r="C116" s="139" t="s">
        <v>456</v>
      </c>
      <c r="D116" s="140" t="s">
        <v>457</v>
      </c>
      <c r="E116" s="140"/>
      <c r="F116" s="139" t="s">
        <v>202</v>
      </c>
      <c r="G116" s="141" t="n">
        <v>11</v>
      </c>
      <c r="H116" s="142"/>
      <c r="I116" s="142" t="n">
        <f aca="false">ROUND(G116*AO116,2)</f>
        <v>0</v>
      </c>
      <c r="J116" s="142" t="n">
        <f aca="false">ROUND(G116*AP116,2)</f>
        <v>0</v>
      </c>
      <c r="K116" s="142" t="n">
        <f aca="false">ROUND(G116*H116,2)</f>
        <v>0</v>
      </c>
      <c r="L116" s="142" t="n">
        <v>0.001</v>
      </c>
      <c r="M116" s="142" t="n">
        <f aca="false">G116*L116</f>
        <v>0.011</v>
      </c>
      <c r="N116" s="143"/>
      <c r="Z116" s="88" t="n">
        <f aca="false">ROUND(IF(AQ116="5",BJ116,0),2)</f>
        <v>0</v>
      </c>
      <c r="AB116" s="88" t="n">
        <f aca="false">ROUND(IF(AQ116="1",BH116,0),2)</f>
        <v>0</v>
      </c>
      <c r="AC116" s="88" t="n">
        <f aca="false">ROUND(IF(AQ116="1",BI116,0),2)</f>
        <v>0</v>
      </c>
      <c r="AD116" s="88" t="n">
        <f aca="false">ROUND(IF(AQ116="7",BH116,0),2)</f>
        <v>0</v>
      </c>
      <c r="AE116" s="88" t="n">
        <f aca="false">ROUND(IF(AQ116="7",BI116,0),2)</f>
        <v>0</v>
      </c>
      <c r="AF116" s="88" t="n">
        <f aca="false">ROUND(IF(AQ116="2",BH116,0),2)</f>
        <v>0</v>
      </c>
      <c r="AG116" s="88" t="n">
        <f aca="false">ROUND(IF(AQ116="2",BI116,0),2)</f>
        <v>0</v>
      </c>
      <c r="AH116" s="88" t="n">
        <f aca="false">ROUND(IF(AQ116="0",BJ116,0),2)</f>
        <v>0</v>
      </c>
      <c r="AI116" s="116" t="s">
        <v>109</v>
      </c>
      <c r="AJ116" s="144" t="n">
        <f aca="false">IF(AN116=0,K116,0)</f>
        <v>0</v>
      </c>
      <c r="AK116" s="144" t="n">
        <f aca="false">IF(AN116=12,K116,0)</f>
        <v>0</v>
      </c>
      <c r="AL116" s="144" t="n">
        <f aca="false">IF(AN116=21,K116,0)</f>
        <v>0</v>
      </c>
      <c r="AN116" s="88" t="n">
        <v>21</v>
      </c>
      <c r="AO116" s="88" t="n">
        <f aca="false">H116*1</f>
        <v>0</v>
      </c>
      <c r="AP116" s="88" t="n">
        <f aca="false">H116*(1-1)</f>
        <v>0</v>
      </c>
      <c r="AQ116" s="145" t="s">
        <v>151</v>
      </c>
      <c r="AV116" s="88" t="n">
        <f aca="false">ROUND(AW116+AX116,2)</f>
        <v>0</v>
      </c>
      <c r="AW116" s="88" t="n">
        <f aca="false">ROUND(G116*AO116,2)</f>
        <v>0</v>
      </c>
      <c r="AX116" s="88" t="n">
        <f aca="false">ROUND(G116*AP116,2)</f>
        <v>0</v>
      </c>
      <c r="AY116" s="87" t="s">
        <v>389</v>
      </c>
      <c r="AZ116" s="87" t="s">
        <v>367</v>
      </c>
      <c r="BA116" s="116" t="s">
        <v>368</v>
      </c>
      <c r="BC116" s="88" t="n">
        <f aca="false">AW116+AX116</f>
        <v>0</v>
      </c>
      <c r="BD116" s="88" t="n">
        <f aca="false">H116/(100-BE116)*100</f>
        <v>0</v>
      </c>
      <c r="BE116" s="88" t="n">
        <v>0</v>
      </c>
      <c r="BF116" s="88" t="n">
        <f aca="false">M116</f>
        <v>0.011</v>
      </c>
      <c r="BH116" s="144" t="n">
        <f aca="false">G116*AO116</f>
        <v>0</v>
      </c>
      <c r="BI116" s="144" t="n">
        <f aca="false">G116*AP116</f>
        <v>0</v>
      </c>
      <c r="BJ116" s="144" t="n">
        <f aca="false">G116*H116</f>
        <v>0</v>
      </c>
      <c r="BK116" s="145" t="s">
        <v>180</v>
      </c>
      <c r="BL116" s="88" t="n">
        <v>18</v>
      </c>
      <c r="BW116" s="88" t="n">
        <v>21</v>
      </c>
      <c r="BX116" s="146" t="s">
        <v>457</v>
      </c>
    </row>
    <row r="117" customFormat="false" ht="15" hidden="false" customHeight="true" outlineLevel="0" collapsed="false">
      <c r="A117" s="139" t="s">
        <v>458</v>
      </c>
      <c r="B117" s="139" t="s">
        <v>109</v>
      </c>
      <c r="C117" s="139" t="s">
        <v>459</v>
      </c>
      <c r="D117" s="140" t="s">
        <v>460</v>
      </c>
      <c r="E117" s="140"/>
      <c r="F117" s="139" t="s">
        <v>202</v>
      </c>
      <c r="G117" s="141" t="n">
        <v>9</v>
      </c>
      <c r="H117" s="142"/>
      <c r="I117" s="142" t="n">
        <f aca="false">ROUND(G117*AO117,2)</f>
        <v>0</v>
      </c>
      <c r="J117" s="142" t="n">
        <f aca="false">ROUND(G117*AP117,2)</f>
        <v>0</v>
      </c>
      <c r="K117" s="142" t="n">
        <f aca="false">ROUND(G117*H117,2)</f>
        <v>0</v>
      </c>
      <c r="L117" s="142" t="n">
        <v>0.001</v>
      </c>
      <c r="M117" s="142" t="n">
        <f aca="false">G117*L117</f>
        <v>0.009</v>
      </c>
      <c r="N117" s="143"/>
      <c r="Z117" s="88" t="n">
        <f aca="false">ROUND(IF(AQ117="5",BJ117,0),2)</f>
        <v>0</v>
      </c>
      <c r="AB117" s="88" t="n">
        <f aca="false">ROUND(IF(AQ117="1",BH117,0),2)</f>
        <v>0</v>
      </c>
      <c r="AC117" s="88" t="n">
        <f aca="false">ROUND(IF(AQ117="1",BI117,0),2)</f>
        <v>0</v>
      </c>
      <c r="AD117" s="88" t="n">
        <f aca="false">ROUND(IF(AQ117="7",BH117,0),2)</f>
        <v>0</v>
      </c>
      <c r="AE117" s="88" t="n">
        <f aca="false">ROUND(IF(AQ117="7",BI117,0),2)</f>
        <v>0</v>
      </c>
      <c r="AF117" s="88" t="n">
        <f aca="false">ROUND(IF(AQ117="2",BH117,0),2)</f>
        <v>0</v>
      </c>
      <c r="AG117" s="88" t="n">
        <f aca="false">ROUND(IF(AQ117="2",BI117,0),2)</f>
        <v>0</v>
      </c>
      <c r="AH117" s="88" t="n">
        <f aca="false">ROUND(IF(AQ117="0",BJ117,0),2)</f>
        <v>0</v>
      </c>
      <c r="AI117" s="116" t="s">
        <v>109</v>
      </c>
      <c r="AJ117" s="144" t="n">
        <f aca="false">IF(AN117=0,K117,0)</f>
        <v>0</v>
      </c>
      <c r="AK117" s="144" t="n">
        <f aca="false">IF(AN117=12,K117,0)</f>
        <v>0</v>
      </c>
      <c r="AL117" s="144" t="n">
        <f aca="false">IF(AN117=21,K117,0)</f>
        <v>0</v>
      </c>
      <c r="AN117" s="88" t="n">
        <v>21</v>
      </c>
      <c r="AO117" s="88" t="n">
        <f aca="false">H117*1</f>
        <v>0</v>
      </c>
      <c r="AP117" s="88" t="n">
        <f aca="false">H117*(1-1)</f>
        <v>0</v>
      </c>
      <c r="AQ117" s="145" t="s">
        <v>151</v>
      </c>
      <c r="AV117" s="88" t="n">
        <f aca="false">ROUND(AW117+AX117,2)</f>
        <v>0</v>
      </c>
      <c r="AW117" s="88" t="n">
        <f aca="false">ROUND(G117*AO117,2)</f>
        <v>0</v>
      </c>
      <c r="AX117" s="88" t="n">
        <f aca="false">ROUND(G117*AP117,2)</f>
        <v>0</v>
      </c>
      <c r="AY117" s="87" t="s">
        <v>389</v>
      </c>
      <c r="AZ117" s="87" t="s">
        <v>367</v>
      </c>
      <c r="BA117" s="116" t="s">
        <v>368</v>
      </c>
      <c r="BC117" s="88" t="n">
        <f aca="false">AW117+AX117</f>
        <v>0</v>
      </c>
      <c r="BD117" s="88" t="n">
        <f aca="false">H117/(100-BE117)*100</f>
        <v>0</v>
      </c>
      <c r="BE117" s="88" t="n">
        <v>0</v>
      </c>
      <c r="BF117" s="88" t="n">
        <f aca="false">M117</f>
        <v>0.009</v>
      </c>
      <c r="BH117" s="144" t="n">
        <f aca="false">G117*AO117</f>
        <v>0</v>
      </c>
      <c r="BI117" s="144" t="n">
        <f aca="false">G117*AP117</f>
        <v>0</v>
      </c>
      <c r="BJ117" s="144" t="n">
        <f aca="false">G117*H117</f>
        <v>0</v>
      </c>
      <c r="BK117" s="145" t="s">
        <v>180</v>
      </c>
      <c r="BL117" s="88" t="n">
        <v>18</v>
      </c>
      <c r="BW117" s="88" t="n">
        <v>21</v>
      </c>
      <c r="BX117" s="146" t="s">
        <v>460</v>
      </c>
    </row>
    <row r="118" customFormat="false" ht="15" hidden="false" customHeight="true" outlineLevel="0" collapsed="false">
      <c r="A118" s="139" t="s">
        <v>461</v>
      </c>
      <c r="B118" s="139" t="s">
        <v>109</v>
      </c>
      <c r="C118" s="139" t="s">
        <v>462</v>
      </c>
      <c r="D118" s="140" t="s">
        <v>463</v>
      </c>
      <c r="E118" s="140"/>
      <c r="F118" s="139" t="s">
        <v>202</v>
      </c>
      <c r="G118" s="141" t="n">
        <v>3</v>
      </c>
      <c r="H118" s="142"/>
      <c r="I118" s="142" t="n">
        <f aca="false">ROUND(G118*AO118,2)</f>
        <v>0</v>
      </c>
      <c r="J118" s="142" t="n">
        <f aca="false">ROUND(G118*AP118,2)</f>
        <v>0</v>
      </c>
      <c r="K118" s="142" t="n">
        <f aca="false">ROUND(G118*H118,2)</f>
        <v>0</v>
      </c>
      <c r="L118" s="142" t="n">
        <v>0.001</v>
      </c>
      <c r="M118" s="142" t="n">
        <f aca="false">G118*L118</f>
        <v>0.003</v>
      </c>
      <c r="N118" s="143"/>
      <c r="Z118" s="88" t="n">
        <f aca="false">ROUND(IF(AQ118="5",BJ118,0),2)</f>
        <v>0</v>
      </c>
      <c r="AB118" s="88" t="n">
        <f aca="false">ROUND(IF(AQ118="1",BH118,0),2)</f>
        <v>0</v>
      </c>
      <c r="AC118" s="88" t="n">
        <f aca="false">ROUND(IF(AQ118="1",BI118,0),2)</f>
        <v>0</v>
      </c>
      <c r="AD118" s="88" t="n">
        <f aca="false">ROUND(IF(AQ118="7",BH118,0),2)</f>
        <v>0</v>
      </c>
      <c r="AE118" s="88" t="n">
        <f aca="false">ROUND(IF(AQ118="7",BI118,0),2)</f>
        <v>0</v>
      </c>
      <c r="AF118" s="88" t="n">
        <f aca="false">ROUND(IF(AQ118="2",BH118,0),2)</f>
        <v>0</v>
      </c>
      <c r="AG118" s="88" t="n">
        <f aca="false">ROUND(IF(AQ118="2",BI118,0),2)</f>
        <v>0</v>
      </c>
      <c r="AH118" s="88" t="n">
        <f aca="false">ROUND(IF(AQ118="0",BJ118,0),2)</f>
        <v>0</v>
      </c>
      <c r="AI118" s="116" t="s">
        <v>109</v>
      </c>
      <c r="AJ118" s="144" t="n">
        <f aca="false">IF(AN118=0,K118,0)</f>
        <v>0</v>
      </c>
      <c r="AK118" s="144" t="n">
        <f aca="false">IF(AN118=12,K118,0)</f>
        <v>0</v>
      </c>
      <c r="AL118" s="144" t="n">
        <f aca="false">IF(AN118=21,K118,0)</f>
        <v>0</v>
      </c>
      <c r="AN118" s="88" t="n">
        <v>21</v>
      </c>
      <c r="AO118" s="88" t="n">
        <f aca="false">H118*1</f>
        <v>0</v>
      </c>
      <c r="AP118" s="88" t="n">
        <f aca="false">H118*(1-1)</f>
        <v>0</v>
      </c>
      <c r="AQ118" s="145" t="s">
        <v>151</v>
      </c>
      <c r="AV118" s="88" t="n">
        <f aca="false">ROUND(AW118+AX118,2)</f>
        <v>0</v>
      </c>
      <c r="AW118" s="88" t="n">
        <f aca="false">ROUND(G118*AO118,2)</f>
        <v>0</v>
      </c>
      <c r="AX118" s="88" t="n">
        <f aca="false">ROUND(G118*AP118,2)</f>
        <v>0</v>
      </c>
      <c r="AY118" s="87" t="s">
        <v>389</v>
      </c>
      <c r="AZ118" s="87" t="s">
        <v>367</v>
      </c>
      <c r="BA118" s="116" t="s">
        <v>368</v>
      </c>
      <c r="BC118" s="88" t="n">
        <f aca="false">AW118+AX118</f>
        <v>0</v>
      </c>
      <c r="BD118" s="88" t="n">
        <f aca="false">H118/(100-BE118)*100</f>
        <v>0</v>
      </c>
      <c r="BE118" s="88" t="n">
        <v>0</v>
      </c>
      <c r="BF118" s="88" t="n">
        <f aca="false">M118</f>
        <v>0.003</v>
      </c>
      <c r="BH118" s="144" t="n">
        <f aca="false">G118*AO118</f>
        <v>0</v>
      </c>
      <c r="BI118" s="144" t="n">
        <f aca="false">G118*AP118</f>
        <v>0</v>
      </c>
      <c r="BJ118" s="144" t="n">
        <f aca="false">G118*H118</f>
        <v>0</v>
      </c>
      <c r="BK118" s="145" t="s">
        <v>180</v>
      </c>
      <c r="BL118" s="88" t="n">
        <v>18</v>
      </c>
      <c r="BW118" s="88" t="n">
        <v>21</v>
      </c>
      <c r="BX118" s="146" t="s">
        <v>463</v>
      </c>
    </row>
    <row r="119" customFormat="false" ht="15" hidden="false" customHeight="true" outlineLevel="0" collapsed="false">
      <c r="A119" s="139" t="s">
        <v>464</v>
      </c>
      <c r="B119" s="139" t="s">
        <v>109</v>
      </c>
      <c r="C119" s="139" t="s">
        <v>465</v>
      </c>
      <c r="D119" s="140" t="s">
        <v>466</v>
      </c>
      <c r="E119" s="140"/>
      <c r="F119" s="139" t="s">
        <v>202</v>
      </c>
      <c r="G119" s="141" t="n">
        <v>5</v>
      </c>
      <c r="H119" s="142"/>
      <c r="I119" s="142" t="n">
        <f aca="false">ROUND(G119*AO119,2)</f>
        <v>0</v>
      </c>
      <c r="J119" s="142" t="n">
        <f aca="false">ROUND(G119*AP119,2)</f>
        <v>0</v>
      </c>
      <c r="K119" s="142" t="n">
        <f aca="false">ROUND(G119*H119,2)</f>
        <v>0</v>
      </c>
      <c r="L119" s="142" t="n">
        <v>0.001</v>
      </c>
      <c r="M119" s="142" t="n">
        <f aca="false">G119*L119</f>
        <v>0.005</v>
      </c>
      <c r="N119" s="143"/>
      <c r="Z119" s="88" t="n">
        <f aca="false">ROUND(IF(AQ119="5",BJ119,0),2)</f>
        <v>0</v>
      </c>
      <c r="AB119" s="88" t="n">
        <f aca="false">ROUND(IF(AQ119="1",BH119,0),2)</f>
        <v>0</v>
      </c>
      <c r="AC119" s="88" t="n">
        <f aca="false">ROUND(IF(AQ119="1",BI119,0),2)</f>
        <v>0</v>
      </c>
      <c r="AD119" s="88" t="n">
        <f aca="false">ROUND(IF(AQ119="7",BH119,0),2)</f>
        <v>0</v>
      </c>
      <c r="AE119" s="88" t="n">
        <f aca="false">ROUND(IF(AQ119="7",BI119,0),2)</f>
        <v>0</v>
      </c>
      <c r="AF119" s="88" t="n">
        <f aca="false">ROUND(IF(AQ119="2",BH119,0),2)</f>
        <v>0</v>
      </c>
      <c r="AG119" s="88" t="n">
        <f aca="false">ROUND(IF(AQ119="2",BI119,0),2)</f>
        <v>0</v>
      </c>
      <c r="AH119" s="88" t="n">
        <f aca="false">ROUND(IF(AQ119="0",BJ119,0),2)</f>
        <v>0</v>
      </c>
      <c r="AI119" s="116" t="s">
        <v>109</v>
      </c>
      <c r="AJ119" s="144" t="n">
        <f aca="false">IF(AN119=0,K119,0)</f>
        <v>0</v>
      </c>
      <c r="AK119" s="144" t="n">
        <f aca="false">IF(AN119=12,K119,0)</f>
        <v>0</v>
      </c>
      <c r="AL119" s="144" t="n">
        <f aca="false">IF(AN119=21,K119,0)</f>
        <v>0</v>
      </c>
      <c r="AN119" s="88" t="n">
        <v>21</v>
      </c>
      <c r="AO119" s="88" t="n">
        <f aca="false">H119*1</f>
        <v>0</v>
      </c>
      <c r="AP119" s="88" t="n">
        <f aca="false">H119*(1-1)</f>
        <v>0</v>
      </c>
      <c r="AQ119" s="145" t="s">
        <v>151</v>
      </c>
      <c r="AV119" s="88" t="n">
        <f aca="false">ROUND(AW119+AX119,2)</f>
        <v>0</v>
      </c>
      <c r="AW119" s="88" t="n">
        <f aca="false">ROUND(G119*AO119,2)</f>
        <v>0</v>
      </c>
      <c r="AX119" s="88" t="n">
        <f aca="false">ROUND(G119*AP119,2)</f>
        <v>0</v>
      </c>
      <c r="AY119" s="87" t="s">
        <v>389</v>
      </c>
      <c r="AZ119" s="87" t="s">
        <v>367</v>
      </c>
      <c r="BA119" s="116" t="s">
        <v>368</v>
      </c>
      <c r="BC119" s="88" t="n">
        <f aca="false">AW119+AX119</f>
        <v>0</v>
      </c>
      <c r="BD119" s="88" t="n">
        <f aca="false">H119/(100-BE119)*100</f>
        <v>0</v>
      </c>
      <c r="BE119" s="88" t="n">
        <v>0</v>
      </c>
      <c r="BF119" s="88" t="n">
        <f aca="false">M119</f>
        <v>0.005</v>
      </c>
      <c r="BH119" s="144" t="n">
        <f aca="false">G119*AO119</f>
        <v>0</v>
      </c>
      <c r="BI119" s="144" t="n">
        <f aca="false">G119*AP119</f>
        <v>0</v>
      </c>
      <c r="BJ119" s="144" t="n">
        <f aca="false">G119*H119</f>
        <v>0</v>
      </c>
      <c r="BK119" s="145" t="s">
        <v>180</v>
      </c>
      <c r="BL119" s="88" t="n">
        <v>18</v>
      </c>
      <c r="BW119" s="88" t="n">
        <v>21</v>
      </c>
      <c r="BX119" s="146" t="s">
        <v>466</v>
      </c>
    </row>
    <row r="120" customFormat="false" ht="15" hidden="false" customHeight="true" outlineLevel="0" collapsed="false">
      <c r="A120" s="139" t="s">
        <v>467</v>
      </c>
      <c r="B120" s="139" t="s">
        <v>109</v>
      </c>
      <c r="C120" s="139" t="s">
        <v>468</v>
      </c>
      <c r="D120" s="140" t="s">
        <v>469</v>
      </c>
      <c r="E120" s="140"/>
      <c r="F120" s="139" t="s">
        <v>202</v>
      </c>
      <c r="G120" s="141" t="n">
        <v>7</v>
      </c>
      <c r="H120" s="142"/>
      <c r="I120" s="142" t="n">
        <f aca="false">ROUND(G120*AO120,2)</f>
        <v>0</v>
      </c>
      <c r="J120" s="142" t="n">
        <f aca="false">ROUND(G120*AP120,2)</f>
        <v>0</v>
      </c>
      <c r="K120" s="142" t="n">
        <f aca="false">ROUND(G120*H120,2)</f>
        <v>0</v>
      </c>
      <c r="L120" s="142" t="n">
        <v>0.001</v>
      </c>
      <c r="M120" s="142" t="n">
        <f aca="false">G120*L120</f>
        <v>0.007</v>
      </c>
      <c r="N120" s="143"/>
      <c r="Z120" s="88" t="n">
        <f aca="false">ROUND(IF(AQ120="5",BJ120,0),2)</f>
        <v>0</v>
      </c>
      <c r="AB120" s="88" t="n">
        <f aca="false">ROUND(IF(AQ120="1",BH120,0),2)</f>
        <v>0</v>
      </c>
      <c r="AC120" s="88" t="n">
        <f aca="false">ROUND(IF(AQ120="1",BI120,0),2)</f>
        <v>0</v>
      </c>
      <c r="AD120" s="88" t="n">
        <f aca="false">ROUND(IF(AQ120="7",BH120,0),2)</f>
        <v>0</v>
      </c>
      <c r="AE120" s="88" t="n">
        <f aca="false">ROUND(IF(AQ120="7",BI120,0),2)</f>
        <v>0</v>
      </c>
      <c r="AF120" s="88" t="n">
        <f aca="false">ROUND(IF(AQ120="2",BH120,0),2)</f>
        <v>0</v>
      </c>
      <c r="AG120" s="88" t="n">
        <f aca="false">ROUND(IF(AQ120="2",BI120,0),2)</f>
        <v>0</v>
      </c>
      <c r="AH120" s="88" t="n">
        <f aca="false">ROUND(IF(AQ120="0",BJ120,0),2)</f>
        <v>0</v>
      </c>
      <c r="AI120" s="116" t="s">
        <v>109</v>
      </c>
      <c r="AJ120" s="144" t="n">
        <f aca="false">IF(AN120=0,K120,0)</f>
        <v>0</v>
      </c>
      <c r="AK120" s="144" t="n">
        <f aca="false">IF(AN120=12,K120,0)</f>
        <v>0</v>
      </c>
      <c r="AL120" s="144" t="n">
        <f aca="false">IF(AN120=21,K120,0)</f>
        <v>0</v>
      </c>
      <c r="AN120" s="88" t="n">
        <v>21</v>
      </c>
      <c r="AO120" s="88" t="n">
        <f aca="false">H120*1</f>
        <v>0</v>
      </c>
      <c r="AP120" s="88" t="n">
        <f aca="false">H120*(1-1)</f>
        <v>0</v>
      </c>
      <c r="AQ120" s="145" t="s">
        <v>151</v>
      </c>
      <c r="AV120" s="88" t="n">
        <f aca="false">ROUND(AW120+AX120,2)</f>
        <v>0</v>
      </c>
      <c r="AW120" s="88" t="n">
        <f aca="false">ROUND(G120*AO120,2)</f>
        <v>0</v>
      </c>
      <c r="AX120" s="88" t="n">
        <f aca="false">ROUND(G120*AP120,2)</f>
        <v>0</v>
      </c>
      <c r="AY120" s="87" t="s">
        <v>389</v>
      </c>
      <c r="AZ120" s="87" t="s">
        <v>367</v>
      </c>
      <c r="BA120" s="116" t="s">
        <v>368</v>
      </c>
      <c r="BC120" s="88" t="n">
        <f aca="false">AW120+AX120</f>
        <v>0</v>
      </c>
      <c r="BD120" s="88" t="n">
        <f aca="false">H120/(100-BE120)*100</f>
        <v>0</v>
      </c>
      <c r="BE120" s="88" t="n">
        <v>0</v>
      </c>
      <c r="BF120" s="88" t="n">
        <f aca="false">M120</f>
        <v>0.007</v>
      </c>
      <c r="BH120" s="144" t="n">
        <f aca="false">G120*AO120</f>
        <v>0</v>
      </c>
      <c r="BI120" s="144" t="n">
        <f aca="false">G120*AP120</f>
        <v>0</v>
      </c>
      <c r="BJ120" s="144" t="n">
        <f aca="false">G120*H120</f>
        <v>0</v>
      </c>
      <c r="BK120" s="145" t="s">
        <v>180</v>
      </c>
      <c r="BL120" s="88" t="n">
        <v>18</v>
      </c>
      <c r="BW120" s="88" t="n">
        <v>21</v>
      </c>
      <c r="BX120" s="146" t="s">
        <v>469</v>
      </c>
    </row>
    <row r="121" customFormat="false" ht="15" hidden="false" customHeight="true" outlineLevel="0" collapsed="false">
      <c r="A121" s="139" t="s">
        <v>184</v>
      </c>
      <c r="B121" s="139" t="s">
        <v>109</v>
      </c>
      <c r="C121" s="139" t="s">
        <v>470</v>
      </c>
      <c r="D121" s="140" t="s">
        <v>435</v>
      </c>
      <c r="E121" s="140"/>
      <c r="F121" s="139" t="s">
        <v>202</v>
      </c>
      <c r="G121" s="141" t="n">
        <v>6</v>
      </c>
      <c r="H121" s="142"/>
      <c r="I121" s="142" t="n">
        <f aca="false">ROUND(G121*AO121,2)</f>
        <v>0</v>
      </c>
      <c r="J121" s="142" t="n">
        <f aca="false">ROUND(G121*AP121,2)</f>
        <v>0</v>
      </c>
      <c r="K121" s="142" t="n">
        <f aca="false">ROUND(G121*H121,2)</f>
        <v>0</v>
      </c>
      <c r="L121" s="142" t="n">
        <v>0.001</v>
      </c>
      <c r="M121" s="142" t="n">
        <f aca="false">G121*L121</f>
        <v>0.006</v>
      </c>
      <c r="N121" s="143"/>
      <c r="Z121" s="88" t="n">
        <f aca="false">ROUND(IF(AQ121="5",BJ121,0),2)</f>
        <v>0</v>
      </c>
      <c r="AB121" s="88" t="n">
        <f aca="false">ROUND(IF(AQ121="1",BH121,0),2)</f>
        <v>0</v>
      </c>
      <c r="AC121" s="88" t="n">
        <f aca="false">ROUND(IF(AQ121="1",BI121,0),2)</f>
        <v>0</v>
      </c>
      <c r="AD121" s="88" t="n">
        <f aca="false">ROUND(IF(AQ121="7",BH121,0),2)</f>
        <v>0</v>
      </c>
      <c r="AE121" s="88" t="n">
        <f aca="false">ROUND(IF(AQ121="7",BI121,0),2)</f>
        <v>0</v>
      </c>
      <c r="AF121" s="88" t="n">
        <f aca="false">ROUND(IF(AQ121="2",BH121,0),2)</f>
        <v>0</v>
      </c>
      <c r="AG121" s="88" t="n">
        <f aca="false">ROUND(IF(AQ121="2",BI121,0),2)</f>
        <v>0</v>
      </c>
      <c r="AH121" s="88" t="n">
        <f aca="false">ROUND(IF(AQ121="0",BJ121,0),2)</f>
        <v>0</v>
      </c>
      <c r="AI121" s="116" t="s">
        <v>109</v>
      </c>
      <c r="AJ121" s="144" t="n">
        <f aca="false">IF(AN121=0,K121,0)</f>
        <v>0</v>
      </c>
      <c r="AK121" s="144" t="n">
        <f aca="false">IF(AN121=12,K121,0)</f>
        <v>0</v>
      </c>
      <c r="AL121" s="144" t="n">
        <f aca="false">IF(AN121=21,K121,0)</f>
        <v>0</v>
      </c>
      <c r="AN121" s="88" t="n">
        <v>21</v>
      </c>
      <c r="AO121" s="88" t="n">
        <f aca="false">H121*1</f>
        <v>0</v>
      </c>
      <c r="AP121" s="88" t="n">
        <f aca="false">H121*(1-1)</f>
        <v>0</v>
      </c>
      <c r="AQ121" s="145" t="s">
        <v>151</v>
      </c>
      <c r="AV121" s="88" t="n">
        <f aca="false">ROUND(AW121+AX121,2)</f>
        <v>0</v>
      </c>
      <c r="AW121" s="88" t="n">
        <f aca="false">ROUND(G121*AO121,2)</f>
        <v>0</v>
      </c>
      <c r="AX121" s="88" t="n">
        <f aca="false">ROUND(G121*AP121,2)</f>
        <v>0</v>
      </c>
      <c r="AY121" s="87" t="s">
        <v>389</v>
      </c>
      <c r="AZ121" s="87" t="s">
        <v>367</v>
      </c>
      <c r="BA121" s="116" t="s">
        <v>368</v>
      </c>
      <c r="BC121" s="88" t="n">
        <f aca="false">AW121+AX121</f>
        <v>0</v>
      </c>
      <c r="BD121" s="88" t="n">
        <f aca="false">H121/(100-BE121)*100</f>
        <v>0</v>
      </c>
      <c r="BE121" s="88" t="n">
        <v>0</v>
      </c>
      <c r="BF121" s="88" t="n">
        <f aca="false">M121</f>
        <v>0.006</v>
      </c>
      <c r="BH121" s="144" t="n">
        <f aca="false">G121*AO121</f>
        <v>0</v>
      </c>
      <c r="BI121" s="144" t="n">
        <f aca="false">G121*AP121</f>
        <v>0</v>
      </c>
      <c r="BJ121" s="144" t="n">
        <f aca="false">G121*H121</f>
        <v>0</v>
      </c>
      <c r="BK121" s="145" t="s">
        <v>180</v>
      </c>
      <c r="BL121" s="88" t="n">
        <v>18</v>
      </c>
      <c r="BW121" s="88" t="n">
        <v>21</v>
      </c>
      <c r="BX121" s="146" t="s">
        <v>435</v>
      </c>
    </row>
    <row r="122" customFormat="false" ht="23.85" hidden="false" customHeight="true" outlineLevel="0" collapsed="false">
      <c r="A122" s="134" t="s">
        <v>197</v>
      </c>
      <c r="B122" s="134" t="s">
        <v>109</v>
      </c>
      <c r="C122" s="134" t="s">
        <v>391</v>
      </c>
      <c r="D122" s="135" t="s">
        <v>471</v>
      </c>
      <c r="E122" s="135"/>
      <c r="F122" s="134" t="s">
        <v>202</v>
      </c>
      <c r="G122" s="136" t="n">
        <v>340</v>
      </c>
      <c r="H122" s="137"/>
      <c r="I122" s="137" t="n">
        <f aca="false">ROUND(G122*AO122,2)</f>
        <v>0</v>
      </c>
      <c r="J122" s="137" t="n">
        <f aca="false">ROUND(G122*AP122,2)</f>
        <v>0</v>
      </c>
      <c r="K122" s="137" t="n">
        <f aca="false">ROUND(G122*H122,2)</f>
        <v>0</v>
      </c>
      <c r="L122" s="137" t="n">
        <v>0</v>
      </c>
      <c r="M122" s="137" t="n">
        <f aca="false">G122*L122</f>
        <v>0</v>
      </c>
      <c r="N122" s="138" t="s">
        <v>155</v>
      </c>
      <c r="Z122" s="88" t="n">
        <f aca="false">ROUND(IF(AQ122="5",BJ122,0),2)</f>
        <v>0</v>
      </c>
      <c r="AB122" s="88" t="n">
        <f aca="false">ROUND(IF(AQ122="1",BH122,0),2)</f>
        <v>0</v>
      </c>
      <c r="AC122" s="88" t="n">
        <f aca="false">ROUND(IF(AQ122="1",BI122,0),2)</f>
        <v>0</v>
      </c>
      <c r="AD122" s="88" t="n">
        <f aca="false">ROUND(IF(AQ122="7",BH122,0),2)</f>
        <v>0</v>
      </c>
      <c r="AE122" s="88" t="n">
        <f aca="false">ROUND(IF(AQ122="7",BI122,0),2)</f>
        <v>0</v>
      </c>
      <c r="AF122" s="88" t="n">
        <f aca="false">ROUND(IF(AQ122="2",BH122,0),2)</f>
        <v>0</v>
      </c>
      <c r="AG122" s="88" t="n">
        <f aca="false">ROUND(IF(AQ122="2",BI122,0),2)</f>
        <v>0</v>
      </c>
      <c r="AH122" s="88" t="n">
        <f aca="false">ROUND(IF(AQ122="0",BJ122,0),2)</f>
        <v>0</v>
      </c>
      <c r="AI122" s="116" t="s">
        <v>109</v>
      </c>
      <c r="AJ122" s="88" t="n">
        <f aca="false">IF(AN122=0,K122,0)</f>
        <v>0</v>
      </c>
      <c r="AK122" s="88" t="n">
        <f aca="false">IF(AN122=12,K122,0)</f>
        <v>0</v>
      </c>
      <c r="AL122" s="88" t="n">
        <f aca="false">IF(AN122=21,K122,0)</f>
        <v>0</v>
      </c>
      <c r="AN122" s="88" t="n">
        <v>21</v>
      </c>
      <c r="AO122" s="88" t="n">
        <f aca="false">H122*0</f>
        <v>0</v>
      </c>
      <c r="AP122" s="88" t="n">
        <f aca="false">H122*(1-0)</f>
        <v>0</v>
      </c>
      <c r="AQ122" s="87" t="s">
        <v>151</v>
      </c>
      <c r="AV122" s="88" t="n">
        <f aca="false">ROUND(AW122+AX122,2)</f>
        <v>0</v>
      </c>
      <c r="AW122" s="88" t="n">
        <f aca="false">ROUND(G122*AO122,2)</f>
        <v>0</v>
      </c>
      <c r="AX122" s="88" t="n">
        <f aca="false">ROUND(G122*AP122,2)</f>
        <v>0</v>
      </c>
      <c r="AY122" s="87" t="s">
        <v>389</v>
      </c>
      <c r="AZ122" s="87" t="s">
        <v>367</v>
      </c>
      <c r="BA122" s="116" t="s">
        <v>368</v>
      </c>
      <c r="BC122" s="88" t="n">
        <f aca="false">AW122+AX122</f>
        <v>0</v>
      </c>
      <c r="BD122" s="88" t="n">
        <f aca="false">H122/(100-BE122)*100</f>
        <v>0</v>
      </c>
      <c r="BE122" s="88" t="n">
        <v>0</v>
      </c>
      <c r="BF122" s="88" t="n">
        <f aca="false">M122</f>
        <v>0</v>
      </c>
      <c r="BH122" s="88" t="n">
        <f aca="false">G122*AO122</f>
        <v>0</v>
      </c>
      <c r="BI122" s="88" t="n">
        <f aca="false">G122*AP122</f>
        <v>0</v>
      </c>
      <c r="BJ122" s="88" t="n">
        <f aca="false">G122*H122</f>
        <v>0</v>
      </c>
      <c r="BK122" s="87" t="s">
        <v>159</v>
      </c>
      <c r="BL122" s="88" t="n">
        <v>18</v>
      </c>
      <c r="BW122" s="88" t="n">
        <v>21</v>
      </c>
      <c r="BX122" s="9" t="s">
        <v>471</v>
      </c>
    </row>
    <row r="123" customFormat="false" ht="15" hidden="false" customHeight="true" outlineLevel="0" collapsed="false">
      <c r="A123" s="134" t="s">
        <v>472</v>
      </c>
      <c r="B123" s="134" t="s">
        <v>109</v>
      </c>
      <c r="C123" s="134" t="s">
        <v>473</v>
      </c>
      <c r="D123" s="135" t="s">
        <v>474</v>
      </c>
      <c r="E123" s="135"/>
      <c r="F123" s="134" t="s">
        <v>202</v>
      </c>
      <c r="G123" s="136" t="n">
        <v>340</v>
      </c>
      <c r="H123" s="137"/>
      <c r="I123" s="137" t="n">
        <f aca="false">ROUND(G123*AO123,2)</f>
        <v>0</v>
      </c>
      <c r="J123" s="137" t="n">
        <f aca="false">ROUND(G123*AP123,2)</f>
        <v>0</v>
      </c>
      <c r="K123" s="137" t="n">
        <f aca="false">ROUND(G123*H123,2)</f>
        <v>0</v>
      </c>
      <c r="L123" s="137" t="n">
        <v>0</v>
      </c>
      <c r="M123" s="137" t="n">
        <f aca="false">G123*L123</f>
        <v>0</v>
      </c>
      <c r="N123" s="138" t="s">
        <v>155</v>
      </c>
      <c r="Z123" s="88" t="n">
        <f aca="false">ROUND(IF(AQ123="5",BJ123,0),2)</f>
        <v>0</v>
      </c>
      <c r="AB123" s="88" t="n">
        <f aca="false">ROUND(IF(AQ123="1",BH123,0),2)</f>
        <v>0</v>
      </c>
      <c r="AC123" s="88" t="n">
        <f aca="false">ROUND(IF(AQ123="1",BI123,0),2)</f>
        <v>0</v>
      </c>
      <c r="AD123" s="88" t="n">
        <f aca="false">ROUND(IF(AQ123="7",BH123,0),2)</f>
        <v>0</v>
      </c>
      <c r="AE123" s="88" t="n">
        <f aca="false">ROUND(IF(AQ123="7",BI123,0),2)</f>
        <v>0</v>
      </c>
      <c r="AF123" s="88" t="n">
        <f aca="false">ROUND(IF(AQ123="2",BH123,0),2)</f>
        <v>0</v>
      </c>
      <c r="AG123" s="88" t="n">
        <f aca="false">ROUND(IF(AQ123="2",BI123,0),2)</f>
        <v>0</v>
      </c>
      <c r="AH123" s="88" t="n">
        <f aca="false">ROUND(IF(AQ123="0",BJ123,0),2)</f>
        <v>0</v>
      </c>
      <c r="AI123" s="116" t="s">
        <v>109</v>
      </c>
      <c r="AJ123" s="88" t="n">
        <f aca="false">IF(AN123=0,K123,0)</f>
        <v>0</v>
      </c>
      <c r="AK123" s="88" t="n">
        <f aca="false">IF(AN123=12,K123,0)</f>
        <v>0</v>
      </c>
      <c r="AL123" s="88" t="n">
        <f aca="false">IF(AN123=21,K123,0)</f>
        <v>0</v>
      </c>
      <c r="AN123" s="88" t="n">
        <v>21</v>
      </c>
      <c r="AO123" s="88" t="n">
        <f aca="false">H123*0.016</f>
        <v>0</v>
      </c>
      <c r="AP123" s="88" t="n">
        <f aca="false">H123*(1-0.016)</f>
        <v>0</v>
      </c>
      <c r="AQ123" s="87" t="s">
        <v>151</v>
      </c>
      <c r="AV123" s="88" t="n">
        <f aca="false">ROUND(AW123+AX123,2)</f>
        <v>0</v>
      </c>
      <c r="AW123" s="88" t="n">
        <f aca="false">ROUND(G123*AO123,2)</f>
        <v>0</v>
      </c>
      <c r="AX123" s="88" t="n">
        <f aca="false">ROUND(G123*AP123,2)</f>
        <v>0</v>
      </c>
      <c r="AY123" s="87" t="s">
        <v>389</v>
      </c>
      <c r="AZ123" s="87" t="s">
        <v>367</v>
      </c>
      <c r="BA123" s="116" t="s">
        <v>368</v>
      </c>
      <c r="BC123" s="88" t="n">
        <f aca="false">AW123+AX123</f>
        <v>0</v>
      </c>
      <c r="BD123" s="88" t="n">
        <f aca="false">H123/(100-BE123)*100</f>
        <v>0</v>
      </c>
      <c r="BE123" s="88" t="n">
        <v>0</v>
      </c>
      <c r="BF123" s="88" t="n">
        <f aca="false">M123</f>
        <v>0</v>
      </c>
      <c r="BH123" s="88" t="n">
        <f aca="false">G123*AO123</f>
        <v>0</v>
      </c>
      <c r="BI123" s="88" t="n">
        <f aca="false">G123*AP123</f>
        <v>0</v>
      </c>
      <c r="BJ123" s="88" t="n">
        <f aca="false">G123*H123</f>
        <v>0</v>
      </c>
      <c r="BK123" s="87" t="s">
        <v>159</v>
      </c>
      <c r="BL123" s="88" t="n">
        <v>18</v>
      </c>
      <c r="BW123" s="88" t="n">
        <v>21</v>
      </c>
      <c r="BX123" s="9" t="s">
        <v>474</v>
      </c>
    </row>
    <row r="124" customFormat="false" ht="15" hidden="false" customHeight="true" outlineLevel="0" collapsed="false">
      <c r="A124" s="139" t="s">
        <v>475</v>
      </c>
      <c r="B124" s="139" t="s">
        <v>109</v>
      </c>
      <c r="C124" s="139" t="s">
        <v>476</v>
      </c>
      <c r="D124" s="140" t="s">
        <v>477</v>
      </c>
      <c r="E124" s="140"/>
      <c r="F124" s="139" t="s">
        <v>202</v>
      </c>
      <c r="G124" s="141" t="n">
        <v>50</v>
      </c>
      <c r="H124" s="142"/>
      <c r="I124" s="142" t="n">
        <f aca="false">ROUND(G124*AO124,2)</f>
        <v>0</v>
      </c>
      <c r="J124" s="142" t="n">
        <f aca="false">ROUND(G124*AP124,2)</f>
        <v>0</v>
      </c>
      <c r="K124" s="142" t="n">
        <f aca="false">ROUND(G124*H124,2)</f>
        <v>0</v>
      </c>
      <c r="L124" s="142" t="n">
        <v>0.001</v>
      </c>
      <c r="M124" s="142" t="n">
        <f aca="false">G124*L124</f>
        <v>0.05</v>
      </c>
      <c r="N124" s="143"/>
      <c r="Z124" s="88" t="n">
        <f aca="false">ROUND(IF(AQ124="5",BJ124,0),2)</f>
        <v>0</v>
      </c>
      <c r="AB124" s="88" t="n">
        <f aca="false">ROUND(IF(AQ124="1",BH124,0),2)</f>
        <v>0</v>
      </c>
      <c r="AC124" s="88" t="n">
        <f aca="false">ROUND(IF(AQ124="1",BI124,0),2)</f>
        <v>0</v>
      </c>
      <c r="AD124" s="88" t="n">
        <f aca="false">ROUND(IF(AQ124="7",BH124,0),2)</f>
        <v>0</v>
      </c>
      <c r="AE124" s="88" t="n">
        <f aca="false">ROUND(IF(AQ124="7",BI124,0),2)</f>
        <v>0</v>
      </c>
      <c r="AF124" s="88" t="n">
        <f aca="false">ROUND(IF(AQ124="2",BH124,0),2)</f>
        <v>0</v>
      </c>
      <c r="AG124" s="88" t="n">
        <f aca="false">ROUND(IF(AQ124="2",BI124,0),2)</f>
        <v>0</v>
      </c>
      <c r="AH124" s="88" t="n">
        <f aca="false">ROUND(IF(AQ124="0",BJ124,0),2)</f>
        <v>0</v>
      </c>
      <c r="AI124" s="116" t="s">
        <v>109</v>
      </c>
      <c r="AJ124" s="144" t="n">
        <f aca="false">IF(AN124=0,K124,0)</f>
        <v>0</v>
      </c>
      <c r="AK124" s="144" t="n">
        <f aca="false">IF(AN124=12,K124,0)</f>
        <v>0</v>
      </c>
      <c r="AL124" s="144" t="n">
        <f aca="false">IF(AN124=21,K124,0)</f>
        <v>0</v>
      </c>
      <c r="AN124" s="88" t="n">
        <v>21</v>
      </c>
      <c r="AO124" s="88" t="n">
        <f aca="false">H124*1</f>
        <v>0</v>
      </c>
      <c r="AP124" s="88" t="n">
        <f aca="false">H124*(1-1)</f>
        <v>0</v>
      </c>
      <c r="AQ124" s="145" t="s">
        <v>151</v>
      </c>
      <c r="AV124" s="88" t="n">
        <f aca="false">ROUND(AW124+AX124,2)</f>
        <v>0</v>
      </c>
      <c r="AW124" s="88" t="n">
        <f aca="false">ROUND(G124*AO124,2)</f>
        <v>0</v>
      </c>
      <c r="AX124" s="88" t="n">
        <f aca="false">ROUND(G124*AP124,2)</f>
        <v>0</v>
      </c>
      <c r="AY124" s="87" t="s">
        <v>389</v>
      </c>
      <c r="AZ124" s="87" t="s">
        <v>367</v>
      </c>
      <c r="BA124" s="116" t="s">
        <v>368</v>
      </c>
      <c r="BC124" s="88" t="n">
        <f aca="false">AW124+AX124</f>
        <v>0</v>
      </c>
      <c r="BD124" s="88" t="n">
        <f aca="false">H124/(100-BE124)*100</f>
        <v>0</v>
      </c>
      <c r="BE124" s="88" t="n">
        <v>0</v>
      </c>
      <c r="BF124" s="88" t="n">
        <f aca="false">M124</f>
        <v>0.05</v>
      </c>
      <c r="BH124" s="144" t="n">
        <f aca="false">G124*AO124</f>
        <v>0</v>
      </c>
      <c r="BI124" s="144" t="n">
        <f aca="false">G124*AP124</f>
        <v>0</v>
      </c>
      <c r="BJ124" s="144" t="n">
        <f aca="false">G124*H124</f>
        <v>0</v>
      </c>
      <c r="BK124" s="145" t="s">
        <v>180</v>
      </c>
      <c r="BL124" s="88" t="n">
        <v>18</v>
      </c>
      <c r="BW124" s="88" t="n">
        <v>21</v>
      </c>
      <c r="BX124" s="146" t="s">
        <v>477</v>
      </c>
    </row>
    <row r="125" customFormat="false" ht="15" hidden="false" customHeight="true" outlineLevel="0" collapsed="false">
      <c r="A125" s="139" t="s">
        <v>478</v>
      </c>
      <c r="B125" s="139" t="s">
        <v>109</v>
      </c>
      <c r="C125" s="139" t="s">
        <v>479</v>
      </c>
      <c r="D125" s="140" t="s">
        <v>480</v>
      </c>
      <c r="E125" s="140"/>
      <c r="F125" s="139" t="s">
        <v>202</v>
      </c>
      <c r="G125" s="141" t="n">
        <v>50</v>
      </c>
      <c r="H125" s="142"/>
      <c r="I125" s="142" t="n">
        <f aca="false">ROUND(G125*AO125,2)</f>
        <v>0</v>
      </c>
      <c r="J125" s="142" t="n">
        <f aca="false">ROUND(G125*AP125,2)</f>
        <v>0</v>
      </c>
      <c r="K125" s="142" t="n">
        <f aca="false">ROUND(G125*H125,2)</f>
        <v>0</v>
      </c>
      <c r="L125" s="142" t="n">
        <v>0.001</v>
      </c>
      <c r="M125" s="142" t="n">
        <f aca="false">G125*L125</f>
        <v>0.05</v>
      </c>
      <c r="N125" s="143"/>
      <c r="Z125" s="88" t="n">
        <f aca="false">ROUND(IF(AQ125="5",BJ125,0),2)</f>
        <v>0</v>
      </c>
      <c r="AB125" s="88" t="n">
        <f aca="false">ROUND(IF(AQ125="1",BH125,0),2)</f>
        <v>0</v>
      </c>
      <c r="AC125" s="88" t="n">
        <f aca="false">ROUND(IF(AQ125="1",BI125,0),2)</f>
        <v>0</v>
      </c>
      <c r="AD125" s="88" t="n">
        <f aca="false">ROUND(IF(AQ125="7",BH125,0),2)</f>
        <v>0</v>
      </c>
      <c r="AE125" s="88" t="n">
        <f aca="false">ROUND(IF(AQ125="7",BI125,0),2)</f>
        <v>0</v>
      </c>
      <c r="AF125" s="88" t="n">
        <f aca="false">ROUND(IF(AQ125="2",BH125,0),2)</f>
        <v>0</v>
      </c>
      <c r="AG125" s="88" t="n">
        <f aca="false">ROUND(IF(AQ125="2",BI125,0),2)</f>
        <v>0</v>
      </c>
      <c r="AH125" s="88" t="n">
        <f aca="false">ROUND(IF(AQ125="0",BJ125,0),2)</f>
        <v>0</v>
      </c>
      <c r="AI125" s="116" t="s">
        <v>109</v>
      </c>
      <c r="AJ125" s="144" t="n">
        <f aca="false">IF(AN125=0,K125,0)</f>
        <v>0</v>
      </c>
      <c r="AK125" s="144" t="n">
        <f aca="false">IF(AN125=12,K125,0)</f>
        <v>0</v>
      </c>
      <c r="AL125" s="144" t="n">
        <f aca="false">IF(AN125=21,K125,0)</f>
        <v>0</v>
      </c>
      <c r="AN125" s="88" t="n">
        <v>21</v>
      </c>
      <c r="AO125" s="88" t="n">
        <f aca="false">H125*1</f>
        <v>0</v>
      </c>
      <c r="AP125" s="88" t="n">
        <f aca="false">H125*(1-1)</f>
        <v>0</v>
      </c>
      <c r="AQ125" s="145" t="s">
        <v>151</v>
      </c>
      <c r="AV125" s="88" t="n">
        <f aca="false">ROUND(AW125+AX125,2)</f>
        <v>0</v>
      </c>
      <c r="AW125" s="88" t="n">
        <f aca="false">ROUND(G125*AO125,2)</f>
        <v>0</v>
      </c>
      <c r="AX125" s="88" t="n">
        <f aca="false">ROUND(G125*AP125,2)</f>
        <v>0</v>
      </c>
      <c r="AY125" s="87" t="s">
        <v>389</v>
      </c>
      <c r="AZ125" s="87" t="s">
        <v>367</v>
      </c>
      <c r="BA125" s="116" t="s">
        <v>368</v>
      </c>
      <c r="BC125" s="88" t="n">
        <f aca="false">AW125+AX125</f>
        <v>0</v>
      </c>
      <c r="BD125" s="88" t="n">
        <f aca="false">H125/(100-BE125)*100</f>
        <v>0</v>
      </c>
      <c r="BE125" s="88" t="n">
        <v>0</v>
      </c>
      <c r="BF125" s="88" t="n">
        <f aca="false">M125</f>
        <v>0.05</v>
      </c>
      <c r="BH125" s="144" t="n">
        <f aca="false">G125*AO125</f>
        <v>0</v>
      </c>
      <c r="BI125" s="144" t="n">
        <f aca="false">G125*AP125</f>
        <v>0</v>
      </c>
      <c r="BJ125" s="144" t="n">
        <f aca="false">G125*H125</f>
        <v>0</v>
      </c>
      <c r="BK125" s="145" t="s">
        <v>180</v>
      </c>
      <c r="BL125" s="88" t="n">
        <v>18</v>
      </c>
      <c r="BW125" s="88" t="n">
        <v>21</v>
      </c>
      <c r="BX125" s="146" t="s">
        <v>480</v>
      </c>
    </row>
    <row r="126" customFormat="false" ht="15" hidden="false" customHeight="true" outlineLevel="0" collapsed="false">
      <c r="A126" s="139" t="s">
        <v>481</v>
      </c>
      <c r="B126" s="139" t="s">
        <v>109</v>
      </c>
      <c r="C126" s="139" t="s">
        <v>482</v>
      </c>
      <c r="D126" s="140" t="s">
        <v>483</v>
      </c>
      <c r="E126" s="140"/>
      <c r="F126" s="139" t="s">
        <v>202</v>
      </c>
      <c r="G126" s="141" t="n">
        <v>50</v>
      </c>
      <c r="H126" s="142"/>
      <c r="I126" s="142" t="n">
        <f aca="false">ROUND(G126*AO126,2)</f>
        <v>0</v>
      </c>
      <c r="J126" s="142" t="n">
        <f aca="false">ROUND(G126*AP126,2)</f>
        <v>0</v>
      </c>
      <c r="K126" s="142" t="n">
        <f aca="false">ROUND(G126*H126,2)</f>
        <v>0</v>
      </c>
      <c r="L126" s="142" t="n">
        <v>0.001</v>
      </c>
      <c r="M126" s="142" t="n">
        <f aca="false">G126*L126</f>
        <v>0.05</v>
      </c>
      <c r="N126" s="143"/>
      <c r="Z126" s="88" t="n">
        <f aca="false">ROUND(IF(AQ126="5",BJ126,0),2)</f>
        <v>0</v>
      </c>
      <c r="AB126" s="88" t="n">
        <f aca="false">ROUND(IF(AQ126="1",BH126,0),2)</f>
        <v>0</v>
      </c>
      <c r="AC126" s="88" t="n">
        <f aca="false">ROUND(IF(AQ126="1",BI126,0),2)</f>
        <v>0</v>
      </c>
      <c r="AD126" s="88" t="n">
        <f aca="false">ROUND(IF(AQ126="7",BH126,0),2)</f>
        <v>0</v>
      </c>
      <c r="AE126" s="88" t="n">
        <f aca="false">ROUND(IF(AQ126="7",BI126,0),2)</f>
        <v>0</v>
      </c>
      <c r="AF126" s="88" t="n">
        <f aca="false">ROUND(IF(AQ126="2",BH126,0),2)</f>
        <v>0</v>
      </c>
      <c r="AG126" s="88" t="n">
        <f aca="false">ROUND(IF(AQ126="2",BI126,0),2)</f>
        <v>0</v>
      </c>
      <c r="AH126" s="88" t="n">
        <f aca="false">ROUND(IF(AQ126="0",BJ126,0),2)</f>
        <v>0</v>
      </c>
      <c r="AI126" s="116" t="s">
        <v>109</v>
      </c>
      <c r="AJ126" s="144" t="n">
        <f aca="false">IF(AN126=0,K126,0)</f>
        <v>0</v>
      </c>
      <c r="AK126" s="144" t="n">
        <f aca="false">IF(AN126=12,K126,0)</f>
        <v>0</v>
      </c>
      <c r="AL126" s="144" t="n">
        <f aca="false">IF(AN126=21,K126,0)</f>
        <v>0</v>
      </c>
      <c r="AN126" s="88" t="n">
        <v>21</v>
      </c>
      <c r="AO126" s="88" t="n">
        <f aca="false">H126*1</f>
        <v>0</v>
      </c>
      <c r="AP126" s="88" t="n">
        <f aca="false">H126*(1-1)</f>
        <v>0</v>
      </c>
      <c r="AQ126" s="145" t="s">
        <v>151</v>
      </c>
      <c r="AV126" s="88" t="n">
        <f aca="false">ROUND(AW126+AX126,2)</f>
        <v>0</v>
      </c>
      <c r="AW126" s="88" t="n">
        <f aca="false">ROUND(G126*AO126,2)</f>
        <v>0</v>
      </c>
      <c r="AX126" s="88" t="n">
        <f aca="false">ROUND(G126*AP126,2)</f>
        <v>0</v>
      </c>
      <c r="AY126" s="87" t="s">
        <v>389</v>
      </c>
      <c r="AZ126" s="87" t="s">
        <v>367</v>
      </c>
      <c r="BA126" s="116" t="s">
        <v>368</v>
      </c>
      <c r="BC126" s="88" t="n">
        <f aca="false">AW126+AX126</f>
        <v>0</v>
      </c>
      <c r="BD126" s="88" t="n">
        <f aca="false">H126/(100-BE126)*100</f>
        <v>0</v>
      </c>
      <c r="BE126" s="88" t="n">
        <v>0</v>
      </c>
      <c r="BF126" s="88" t="n">
        <f aca="false">M126</f>
        <v>0.05</v>
      </c>
      <c r="BH126" s="144" t="n">
        <f aca="false">G126*AO126</f>
        <v>0</v>
      </c>
      <c r="BI126" s="144" t="n">
        <f aca="false">G126*AP126</f>
        <v>0</v>
      </c>
      <c r="BJ126" s="144" t="n">
        <f aca="false">G126*H126</f>
        <v>0</v>
      </c>
      <c r="BK126" s="145" t="s">
        <v>180</v>
      </c>
      <c r="BL126" s="88" t="n">
        <v>18</v>
      </c>
      <c r="BW126" s="88" t="n">
        <v>21</v>
      </c>
      <c r="BX126" s="146" t="s">
        <v>483</v>
      </c>
    </row>
    <row r="127" customFormat="false" ht="15" hidden="false" customHeight="true" outlineLevel="0" collapsed="false">
      <c r="A127" s="139" t="s">
        <v>484</v>
      </c>
      <c r="B127" s="139" t="s">
        <v>109</v>
      </c>
      <c r="C127" s="139" t="s">
        <v>485</v>
      </c>
      <c r="D127" s="140" t="s">
        <v>486</v>
      </c>
      <c r="E127" s="140"/>
      <c r="F127" s="139" t="s">
        <v>202</v>
      </c>
      <c r="G127" s="141" t="n">
        <v>10</v>
      </c>
      <c r="H127" s="142"/>
      <c r="I127" s="142" t="n">
        <f aca="false">ROUND(G127*AO127,2)</f>
        <v>0</v>
      </c>
      <c r="J127" s="142" t="n">
        <f aca="false">ROUND(G127*AP127,2)</f>
        <v>0</v>
      </c>
      <c r="K127" s="142" t="n">
        <f aca="false">ROUND(G127*H127,2)</f>
        <v>0</v>
      </c>
      <c r="L127" s="142" t="n">
        <v>0.001</v>
      </c>
      <c r="M127" s="142" t="n">
        <f aca="false">G127*L127</f>
        <v>0.01</v>
      </c>
      <c r="N127" s="143"/>
      <c r="Z127" s="88" t="n">
        <f aca="false">ROUND(IF(AQ127="5",BJ127,0),2)</f>
        <v>0</v>
      </c>
      <c r="AB127" s="88" t="n">
        <f aca="false">ROUND(IF(AQ127="1",BH127,0),2)</f>
        <v>0</v>
      </c>
      <c r="AC127" s="88" t="n">
        <f aca="false">ROUND(IF(AQ127="1",BI127,0),2)</f>
        <v>0</v>
      </c>
      <c r="AD127" s="88" t="n">
        <f aca="false">ROUND(IF(AQ127="7",BH127,0),2)</f>
        <v>0</v>
      </c>
      <c r="AE127" s="88" t="n">
        <f aca="false">ROUND(IF(AQ127="7",BI127,0),2)</f>
        <v>0</v>
      </c>
      <c r="AF127" s="88" t="n">
        <f aca="false">ROUND(IF(AQ127="2",BH127,0),2)</f>
        <v>0</v>
      </c>
      <c r="AG127" s="88" t="n">
        <f aca="false">ROUND(IF(AQ127="2",BI127,0),2)</f>
        <v>0</v>
      </c>
      <c r="AH127" s="88" t="n">
        <f aca="false">ROUND(IF(AQ127="0",BJ127,0),2)</f>
        <v>0</v>
      </c>
      <c r="AI127" s="116" t="s">
        <v>109</v>
      </c>
      <c r="AJ127" s="144" t="n">
        <f aca="false">IF(AN127=0,K127,0)</f>
        <v>0</v>
      </c>
      <c r="AK127" s="144" t="n">
        <f aca="false">IF(AN127=12,K127,0)</f>
        <v>0</v>
      </c>
      <c r="AL127" s="144" t="n">
        <f aca="false">IF(AN127=21,K127,0)</f>
        <v>0</v>
      </c>
      <c r="AN127" s="88" t="n">
        <v>21</v>
      </c>
      <c r="AO127" s="88" t="n">
        <f aca="false">H127*1</f>
        <v>0</v>
      </c>
      <c r="AP127" s="88" t="n">
        <f aca="false">H127*(1-1)</f>
        <v>0</v>
      </c>
      <c r="AQ127" s="145" t="s">
        <v>151</v>
      </c>
      <c r="AV127" s="88" t="n">
        <f aca="false">ROUND(AW127+AX127,2)</f>
        <v>0</v>
      </c>
      <c r="AW127" s="88" t="n">
        <f aca="false">ROUND(G127*AO127,2)</f>
        <v>0</v>
      </c>
      <c r="AX127" s="88" t="n">
        <f aca="false">ROUND(G127*AP127,2)</f>
        <v>0</v>
      </c>
      <c r="AY127" s="87" t="s">
        <v>389</v>
      </c>
      <c r="AZ127" s="87" t="s">
        <v>367</v>
      </c>
      <c r="BA127" s="116" t="s">
        <v>368</v>
      </c>
      <c r="BC127" s="88" t="n">
        <f aca="false">AW127+AX127</f>
        <v>0</v>
      </c>
      <c r="BD127" s="88" t="n">
        <f aca="false">H127/(100-BE127)*100</f>
        <v>0</v>
      </c>
      <c r="BE127" s="88" t="n">
        <v>0</v>
      </c>
      <c r="BF127" s="88" t="n">
        <f aca="false">M127</f>
        <v>0.01</v>
      </c>
      <c r="BH127" s="144" t="n">
        <f aca="false">G127*AO127</f>
        <v>0</v>
      </c>
      <c r="BI127" s="144" t="n">
        <f aca="false">G127*AP127</f>
        <v>0</v>
      </c>
      <c r="BJ127" s="144" t="n">
        <f aca="false">G127*H127</f>
        <v>0</v>
      </c>
      <c r="BK127" s="145" t="s">
        <v>180</v>
      </c>
      <c r="BL127" s="88" t="n">
        <v>18</v>
      </c>
      <c r="BW127" s="88" t="n">
        <v>21</v>
      </c>
      <c r="BX127" s="146" t="s">
        <v>486</v>
      </c>
    </row>
    <row r="128" customFormat="false" ht="15" hidden="false" customHeight="true" outlineLevel="0" collapsed="false">
      <c r="A128" s="139" t="s">
        <v>487</v>
      </c>
      <c r="B128" s="139" t="s">
        <v>109</v>
      </c>
      <c r="C128" s="139" t="s">
        <v>488</v>
      </c>
      <c r="D128" s="140" t="s">
        <v>489</v>
      </c>
      <c r="E128" s="140"/>
      <c r="F128" s="139" t="s">
        <v>202</v>
      </c>
      <c r="G128" s="141" t="n">
        <v>50</v>
      </c>
      <c r="H128" s="142"/>
      <c r="I128" s="142" t="n">
        <f aca="false">ROUND(G128*AO128,2)</f>
        <v>0</v>
      </c>
      <c r="J128" s="142" t="n">
        <f aca="false">ROUND(G128*AP128,2)</f>
        <v>0</v>
      </c>
      <c r="K128" s="142" t="n">
        <f aca="false">ROUND(G128*H128,2)</f>
        <v>0</v>
      </c>
      <c r="L128" s="142" t="n">
        <v>0.001</v>
      </c>
      <c r="M128" s="142" t="n">
        <f aca="false">G128*L128</f>
        <v>0.05</v>
      </c>
      <c r="N128" s="143"/>
      <c r="Z128" s="88" t="n">
        <f aca="false">ROUND(IF(AQ128="5",BJ128,0),2)</f>
        <v>0</v>
      </c>
      <c r="AB128" s="88" t="n">
        <f aca="false">ROUND(IF(AQ128="1",BH128,0),2)</f>
        <v>0</v>
      </c>
      <c r="AC128" s="88" t="n">
        <f aca="false">ROUND(IF(AQ128="1",BI128,0),2)</f>
        <v>0</v>
      </c>
      <c r="AD128" s="88" t="n">
        <f aca="false">ROUND(IF(AQ128="7",BH128,0),2)</f>
        <v>0</v>
      </c>
      <c r="AE128" s="88" t="n">
        <f aca="false">ROUND(IF(AQ128="7",BI128,0),2)</f>
        <v>0</v>
      </c>
      <c r="AF128" s="88" t="n">
        <f aca="false">ROUND(IF(AQ128="2",BH128,0),2)</f>
        <v>0</v>
      </c>
      <c r="AG128" s="88" t="n">
        <f aca="false">ROUND(IF(AQ128="2",BI128,0),2)</f>
        <v>0</v>
      </c>
      <c r="AH128" s="88" t="n">
        <f aca="false">ROUND(IF(AQ128="0",BJ128,0),2)</f>
        <v>0</v>
      </c>
      <c r="AI128" s="116" t="s">
        <v>109</v>
      </c>
      <c r="AJ128" s="144" t="n">
        <f aca="false">IF(AN128=0,K128,0)</f>
        <v>0</v>
      </c>
      <c r="AK128" s="144" t="n">
        <f aca="false">IF(AN128=12,K128,0)</f>
        <v>0</v>
      </c>
      <c r="AL128" s="144" t="n">
        <f aca="false">IF(AN128=21,K128,0)</f>
        <v>0</v>
      </c>
      <c r="AN128" s="88" t="n">
        <v>21</v>
      </c>
      <c r="AO128" s="88" t="n">
        <f aca="false">H128*1</f>
        <v>0</v>
      </c>
      <c r="AP128" s="88" t="n">
        <f aca="false">H128*(1-1)</f>
        <v>0</v>
      </c>
      <c r="AQ128" s="145" t="s">
        <v>151</v>
      </c>
      <c r="AV128" s="88" t="n">
        <f aca="false">ROUND(AW128+AX128,2)</f>
        <v>0</v>
      </c>
      <c r="AW128" s="88" t="n">
        <f aca="false">ROUND(G128*AO128,2)</f>
        <v>0</v>
      </c>
      <c r="AX128" s="88" t="n">
        <f aca="false">ROUND(G128*AP128,2)</f>
        <v>0</v>
      </c>
      <c r="AY128" s="87" t="s">
        <v>389</v>
      </c>
      <c r="AZ128" s="87" t="s">
        <v>367</v>
      </c>
      <c r="BA128" s="116" t="s">
        <v>368</v>
      </c>
      <c r="BC128" s="88" t="n">
        <f aca="false">AW128+AX128</f>
        <v>0</v>
      </c>
      <c r="BD128" s="88" t="n">
        <f aca="false">H128/(100-BE128)*100</f>
        <v>0</v>
      </c>
      <c r="BE128" s="88" t="n">
        <v>0</v>
      </c>
      <c r="BF128" s="88" t="n">
        <f aca="false">M128</f>
        <v>0.05</v>
      </c>
      <c r="BH128" s="144" t="n">
        <f aca="false">G128*AO128</f>
        <v>0</v>
      </c>
      <c r="BI128" s="144" t="n">
        <f aca="false">G128*AP128</f>
        <v>0</v>
      </c>
      <c r="BJ128" s="144" t="n">
        <f aca="false">G128*H128</f>
        <v>0</v>
      </c>
      <c r="BK128" s="145" t="s">
        <v>180</v>
      </c>
      <c r="BL128" s="88" t="n">
        <v>18</v>
      </c>
      <c r="BW128" s="88" t="n">
        <v>21</v>
      </c>
      <c r="BX128" s="146" t="s">
        <v>489</v>
      </c>
    </row>
    <row r="129" customFormat="false" ht="15" hidden="false" customHeight="true" outlineLevel="0" collapsed="false">
      <c r="A129" s="139" t="s">
        <v>490</v>
      </c>
      <c r="B129" s="139" t="s">
        <v>109</v>
      </c>
      <c r="C129" s="139" t="s">
        <v>491</v>
      </c>
      <c r="D129" s="140" t="s">
        <v>492</v>
      </c>
      <c r="E129" s="140"/>
      <c r="F129" s="139" t="s">
        <v>202</v>
      </c>
      <c r="G129" s="141" t="n">
        <v>30</v>
      </c>
      <c r="H129" s="142"/>
      <c r="I129" s="142" t="n">
        <f aca="false">ROUND(G129*AO129,2)</f>
        <v>0</v>
      </c>
      <c r="J129" s="142" t="n">
        <f aca="false">ROUND(G129*AP129,2)</f>
        <v>0</v>
      </c>
      <c r="K129" s="142" t="n">
        <f aca="false">ROUND(G129*H129,2)</f>
        <v>0</v>
      </c>
      <c r="L129" s="142" t="n">
        <v>0.001</v>
      </c>
      <c r="M129" s="142" t="n">
        <f aca="false">G129*L129</f>
        <v>0.03</v>
      </c>
      <c r="N129" s="143"/>
      <c r="Z129" s="88" t="n">
        <f aca="false">ROUND(IF(AQ129="5",BJ129,0),2)</f>
        <v>0</v>
      </c>
      <c r="AB129" s="88" t="n">
        <f aca="false">ROUND(IF(AQ129="1",BH129,0),2)</f>
        <v>0</v>
      </c>
      <c r="AC129" s="88" t="n">
        <f aca="false">ROUND(IF(AQ129="1",BI129,0),2)</f>
        <v>0</v>
      </c>
      <c r="AD129" s="88" t="n">
        <f aca="false">ROUND(IF(AQ129="7",BH129,0),2)</f>
        <v>0</v>
      </c>
      <c r="AE129" s="88" t="n">
        <f aca="false">ROUND(IF(AQ129="7",BI129,0),2)</f>
        <v>0</v>
      </c>
      <c r="AF129" s="88" t="n">
        <f aca="false">ROUND(IF(AQ129="2",BH129,0),2)</f>
        <v>0</v>
      </c>
      <c r="AG129" s="88" t="n">
        <f aca="false">ROUND(IF(AQ129="2",BI129,0),2)</f>
        <v>0</v>
      </c>
      <c r="AH129" s="88" t="n">
        <f aca="false">ROUND(IF(AQ129="0",BJ129,0),2)</f>
        <v>0</v>
      </c>
      <c r="AI129" s="116" t="s">
        <v>109</v>
      </c>
      <c r="AJ129" s="144" t="n">
        <f aca="false">IF(AN129=0,K129,0)</f>
        <v>0</v>
      </c>
      <c r="AK129" s="144" t="n">
        <f aca="false">IF(AN129=12,K129,0)</f>
        <v>0</v>
      </c>
      <c r="AL129" s="144" t="n">
        <f aca="false">IF(AN129=21,K129,0)</f>
        <v>0</v>
      </c>
      <c r="AN129" s="88" t="n">
        <v>21</v>
      </c>
      <c r="AO129" s="88" t="n">
        <f aca="false">H129*1</f>
        <v>0</v>
      </c>
      <c r="AP129" s="88" t="n">
        <f aca="false">H129*(1-1)</f>
        <v>0</v>
      </c>
      <c r="AQ129" s="145" t="s">
        <v>151</v>
      </c>
      <c r="AV129" s="88" t="n">
        <f aca="false">ROUND(AW129+AX129,2)</f>
        <v>0</v>
      </c>
      <c r="AW129" s="88" t="n">
        <f aca="false">ROUND(G129*AO129,2)</f>
        <v>0</v>
      </c>
      <c r="AX129" s="88" t="n">
        <f aca="false">ROUND(G129*AP129,2)</f>
        <v>0</v>
      </c>
      <c r="AY129" s="87" t="s">
        <v>389</v>
      </c>
      <c r="AZ129" s="87" t="s">
        <v>367</v>
      </c>
      <c r="BA129" s="116" t="s">
        <v>368</v>
      </c>
      <c r="BC129" s="88" t="n">
        <f aca="false">AW129+AX129</f>
        <v>0</v>
      </c>
      <c r="BD129" s="88" t="n">
        <f aca="false">H129/(100-BE129)*100</f>
        <v>0</v>
      </c>
      <c r="BE129" s="88" t="n">
        <v>0</v>
      </c>
      <c r="BF129" s="88" t="n">
        <f aca="false">M129</f>
        <v>0.03</v>
      </c>
      <c r="BH129" s="144" t="n">
        <f aca="false">G129*AO129</f>
        <v>0</v>
      </c>
      <c r="BI129" s="144" t="n">
        <f aca="false">G129*AP129</f>
        <v>0</v>
      </c>
      <c r="BJ129" s="144" t="n">
        <f aca="false">G129*H129</f>
        <v>0</v>
      </c>
      <c r="BK129" s="145" t="s">
        <v>180</v>
      </c>
      <c r="BL129" s="88" t="n">
        <v>18</v>
      </c>
      <c r="BW129" s="88" t="n">
        <v>21</v>
      </c>
      <c r="BX129" s="146" t="s">
        <v>492</v>
      </c>
    </row>
    <row r="130" customFormat="false" ht="15" hidden="false" customHeight="true" outlineLevel="0" collapsed="false">
      <c r="A130" s="139" t="s">
        <v>493</v>
      </c>
      <c r="B130" s="139" t="s">
        <v>109</v>
      </c>
      <c r="C130" s="139" t="s">
        <v>494</v>
      </c>
      <c r="D130" s="140" t="s">
        <v>480</v>
      </c>
      <c r="E130" s="140"/>
      <c r="F130" s="139" t="s">
        <v>202</v>
      </c>
      <c r="G130" s="141" t="n">
        <v>50</v>
      </c>
      <c r="H130" s="142"/>
      <c r="I130" s="142" t="n">
        <f aca="false">ROUND(G130*AO130,2)</f>
        <v>0</v>
      </c>
      <c r="J130" s="142" t="n">
        <f aca="false">ROUND(G130*AP130,2)</f>
        <v>0</v>
      </c>
      <c r="K130" s="142" t="n">
        <f aca="false">ROUND(G130*H130,2)</f>
        <v>0</v>
      </c>
      <c r="L130" s="142" t="n">
        <v>0.001</v>
      </c>
      <c r="M130" s="142" t="n">
        <f aca="false">G130*L130</f>
        <v>0.05</v>
      </c>
      <c r="N130" s="143"/>
      <c r="Z130" s="88" t="n">
        <f aca="false">ROUND(IF(AQ130="5",BJ130,0),2)</f>
        <v>0</v>
      </c>
      <c r="AB130" s="88" t="n">
        <f aca="false">ROUND(IF(AQ130="1",BH130,0),2)</f>
        <v>0</v>
      </c>
      <c r="AC130" s="88" t="n">
        <f aca="false">ROUND(IF(AQ130="1",BI130,0),2)</f>
        <v>0</v>
      </c>
      <c r="AD130" s="88" t="n">
        <f aca="false">ROUND(IF(AQ130="7",BH130,0),2)</f>
        <v>0</v>
      </c>
      <c r="AE130" s="88" t="n">
        <f aca="false">ROUND(IF(AQ130="7",BI130,0),2)</f>
        <v>0</v>
      </c>
      <c r="AF130" s="88" t="n">
        <f aca="false">ROUND(IF(AQ130="2",BH130,0),2)</f>
        <v>0</v>
      </c>
      <c r="AG130" s="88" t="n">
        <f aca="false">ROUND(IF(AQ130="2",BI130,0),2)</f>
        <v>0</v>
      </c>
      <c r="AH130" s="88" t="n">
        <f aca="false">ROUND(IF(AQ130="0",BJ130,0),2)</f>
        <v>0</v>
      </c>
      <c r="AI130" s="116" t="s">
        <v>109</v>
      </c>
      <c r="AJ130" s="144" t="n">
        <f aca="false">IF(AN130=0,K130,0)</f>
        <v>0</v>
      </c>
      <c r="AK130" s="144" t="n">
        <f aca="false">IF(AN130=12,K130,0)</f>
        <v>0</v>
      </c>
      <c r="AL130" s="144" t="n">
        <f aca="false">IF(AN130=21,K130,0)</f>
        <v>0</v>
      </c>
      <c r="AN130" s="88" t="n">
        <v>21</v>
      </c>
      <c r="AO130" s="88" t="n">
        <f aca="false">H130*1</f>
        <v>0</v>
      </c>
      <c r="AP130" s="88" t="n">
        <f aca="false">H130*(1-1)</f>
        <v>0</v>
      </c>
      <c r="AQ130" s="145" t="s">
        <v>151</v>
      </c>
      <c r="AV130" s="88" t="n">
        <f aca="false">ROUND(AW130+AX130,2)</f>
        <v>0</v>
      </c>
      <c r="AW130" s="88" t="n">
        <f aca="false">ROUND(G130*AO130,2)</f>
        <v>0</v>
      </c>
      <c r="AX130" s="88" t="n">
        <f aca="false">ROUND(G130*AP130,2)</f>
        <v>0</v>
      </c>
      <c r="AY130" s="87" t="s">
        <v>389</v>
      </c>
      <c r="AZ130" s="87" t="s">
        <v>367</v>
      </c>
      <c r="BA130" s="116" t="s">
        <v>368</v>
      </c>
      <c r="BC130" s="88" t="n">
        <f aca="false">AW130+AX130</f>
        <v>0</v>
      </c>
      <c r="BD130" s="88" t="n">
        <f aca="false">H130/(100-BE130)*100</f>
        <v>0</v>
      </c>
      <c r="BE130" s="88" t="n">
        <v>0</v>
      </c>
      <c r="BF130" s="88" t="n">
        <f aca="false">M130</f>
        <v>0.05</v>
      </c>
      <c r="BH130" s="144" t="n">
        <f aca="false">G130*AO130</f>
        <v>0</v>
      </c>
      <c r="BI130" s="144" t="n">
        <f aca="false">G130*AP130</f>
        <v>0</v>
      </c>
      <c r="BJ130" s="144" t="n">
        <f aca="false">G130*H130</f>
        <v>0</v>
      </c>
      <c r="BK130" s="145" t="s">
        <v>180</v>
      </c>
      <c r="BL130" s="88" t="n">
        <v>18</v>
      </c>
      <c r="BW130" s="88" t="n">
        <v>21</v>
      </c>
      <c r="BX130" s="146" t="s">
        <v>480</v>
      </c>
    </row>
    <row r="131" customFormat="false" ht="15" hidden="false" customHeight="true" outlineLevel="0" collapsed="false">
      <c r="A131" s="139" t="s">
        <v>495</v>
      </c>
      <c r="B131" s="139" t="s">
        <v>109</v>
      </c>
      <c r="C131" s="139" t="s">
        <v>496</v>
      </c>
      <c r="D131" s="140" t="s">
        <v>497</v>
      </c>
      <c r="E131" s="140"/>
      <c r="F131" s="139" t="s">
        <v>202</v>
      </c>
      <c r="G131" s="141" t="n">
        <v>50</v>
      </c>
      <c r="H131" s="142"/>
      <c r="I131" s="142" t="n">
        <f aca="false">ROUND(G131*AO131,2)</f>
        <v>0</v>
      </c>
      <c r="J131" s="142" t="n">
        <f aca="false">ROUND(G131*AP131,2)</f>
        <v>0</v>
      </c>
      <c r="K131" s="142" t="n">
        <f aca="false">ROUND(G131*H131,2)</f>
        <v>0</v>
      </c>
      <c r="L131" s="142" t="n">
        <v>0.001</v>
      </c>
      <c r="M131" s="142" t="n">
        <f aca="false">G131*L131</f>
        <v>0.05</v>
      </c>
      <c r="N131" s="143"/>
      <c r="Z131" s="88" t="n">
        <f aca="false">ROUND(IF(AQ131="5",BJ131,0),2)</f>
        <v>0</v>
      </c>
      <c r="AB131" s="88" t="n">
        <f aca="false">ROUND(IF(AQ131="1",BH131,0),2)</f>
        <v>0</v>
      </c>
      <c r="AC131" s="88" t="n">
        <f aca="false">ROUND(IF(AQ131="1",BI131,0),2)</f>
        <v>0</v>
      </c>
      <c r="AD131" s="88" t="n">
        <f aca="false">ROUND(IF(AQ131="7",BH131,0),2)</f>
        <v>0</v>
      </c>
      <c r="AE131" s="88" t="n">
        <f aca="false">ROUND(IF(AQ131="7",BI131,0),2)</f>
        <v>0</v>
      </c>
      <c r="AF131" s="88" t="n">
        <f aca="false">ROUND(IF(AQ131="2",BH131,0),2)</f>
        <v>0</v>
      </c>
      <c r="AG131" s="88" t="n">
        <f aca="false">ROUND(IF(AQ131="2",BI131,0),2)</f>
        <v>0</v>
      </c>
      <c r="AH131" s="88" t="n">
        <f aca="false">ROUND(IF(AQ131="0",BJ131,0),2)</f>
        <v>0</v>
      </c>
      <c r="AI131" s="116" t="s">
        <v>109</v>
      </c>
      <c r="AJ131" s="144" t="n">
        <f aca="false">IF(AN131=0,K131,0)</f>
        <v>0</v>
      </c>
      <c r="AK131" s="144" t="n">
        <f aca="false">IF(AN131=12,K131,0)</f>
        <v>0</v>
      </c>
      <c r="AL131" s="144" t="n">
        <f aca="false">IF(AN131=21,K131,0)</f>
        <v>0</v>
      </c>
      <c r="AN131" s="88" t="n">
        <v>21</v>
      </c>
      <c r="AO131" s="88" t="n">
        <f aca="false">H131*1</f>
        <v>0</v>
      </c>
      <c r="AP131" s="88" t="n">
        <f aca="false">H131*(1-1)</f>
        <v>0</v>
      </c>
      <c r="AQ131" s="145" t="s">
        <v>151</v>
      </c>
      <c r="AV131" s="88" t="n">
        <f aca="false">ROUND(AW131+AX131,2)</f>
        <v>0</v>
      </c>
      <c r="AW131" s="88" t="n">
        <f aca="false">ROUND(G131*AO131,2)</f>
        <v>0</v>
      </c>
      <c r="AX131" s="88" t="n">
        <f aca="false">ROUND(G131*AP131,2)</f>
        <v>0</v>
      </c>
      <c r="AY131" s="87" t="s">
        <v>389</v>
      </c>
      <c r="AZ131" s="87" t="s">
        <v>367</v>
      </c>
      <c r="BA131" s="116" t="s">
        <v>368</v>
      </c>
      <c r="BC131" s="88" t="n">
        <f aca="false">AW131+AX131</f>
        <v>0</v>
      </c>
      <c r="BD131" s="88" t="n">
        <f aca="false">H131/(100-BE131)*100</f>
        <v>0</v>
      </c>
      <c r="BE131" s="88" t="n">
        <v>0</v>
      </c>
      <c r="BF131" s="88" t="n">
        <f aca="false">M131</f>
        <v>0.05</v>
      </c>
      <c r="BH131" s="144" t="n">
        <f aca="false">G131*AO131</f>
        <v>0</v>
      </c>
      <c r="BI131" s="144" t="n">
        <f aca="false">G131*AP131</f>
        <v>0</v>
      </c>
      <c r="BJ131" s="144" t="n">
        <f aca="false">G131*H131</f>
        <v>0</v>
      </c>
      <c r="BK131" s="145" t="s">
        <v>180</v>
      </c>
      <c r="BL131" s="88" t="n">
        <v>18</v>
      </c>
      <c r="BW131" s="88" t="n">
        <v>21</v>
      </c>
      <c r="BX131" s="146" t="s">
        <v>497</v>
      </c>
    </row>
    <row r="132" customFormat="false" ht="15" hidden="false" customHeight="true" outlineLevel="0" collapsed="false">
      <c r="A132" s="134" t="s">
        <v>498</v>
      </c>
      <c r="B132" s="134" t="s">
        <v>109</v>
      </c>
      <c r="C132" s="134" t="s">
        <v>499</v>
      </c>
      <c r="D132" s="135" t="s">
        <v>500</v>
      </c>
      <c r="E132" s="135"/>
      <c r="F132" s="134" t="s">
        <v>169</v>
      </c>
      <c r="G132" s="136" t="n">
        <v>9.8</v>
      </c>
      <c r="H132" s="137"/>
      <c r="I132" s="137" t="n">
        <f aca="false">ROUND(G132*AO132,2)</f>
        <v>0</v>
      </c>
      <c r="J132" s="137" t="n">
        <f aca="false">ROUND(G132*AP132,2)</f>
        <v>0</v>
      </c>
      <c r="K132" s="137" t="n">
        <f aca="false">ROUND(G132*H132,2)</f>
        <v>0</v>
      </c>
      <c r="L132" s="137" t="n">
        <v>0</v>
      </c>
      <c r="M132" s="137" t="n">
        <f aca="false">G132*L132</f>
        <v>0</v>
      </c>
      <c r="N132" s="138" t="s">
        <v>155</v>
      </c>
      <c r="Z132" s="88" t="n">
        <f aca="false">ROUND(IF(AQ132="5",BJ132,0),2)</f>
        <v>0</v>
      </c>
      <c r="AB132" s="88" t="n">
        <f aca="false">ROUND(IF(AQ132="1",BH132,0),2)</f>
        <v>0</v>
      </c>
      <c r="AC132" s="88" t="n">
        <f aca="false">ROUND(IF(AQ132="1",BI132,0),2)</f>
        <v>0</v>
      </c>
      <c r="AD132" s="88" t="n">
        <f aca="false">ROUND(IF(AQ132="7",BH132,0),2)</f>
        <v>0</v>
      </c>
      <c r="AE132" s="88" t="n">
        <f aca="false">ROUND(IF(AQ132="7",BI132,0),2)</f>
        <v>0</v>
      </c>
      <c r="AF132" s="88" t="n">
        <f aca="false">ROUND(IF(AQ132="2",BH132,0),2)</f>
        <v>0</v>
      </c>
      <c r="AG132" s="88" t="n">
        <f aca="false">ROUND(IF(AQ132="2",BI132,0),2)</f>
        <v>0</v>
      </c>
      <c r="AH132" s="88" t="n">
        <f aca="false">ROUND(IF(AQ132="0",BJ132,0),2)</f>
        <v>0</v>
      </c>
      <c r="AI132" s="116" t="s">
        <v>109</v>
      </c>
      <c r="AJ132" s="88" t="n">
        <f aca="false">IF(AN132=0,K132,0)</f>
        <v>0</v>
      </c>
      <c r="AK132" s="88" t="n">
        <f aca="false">IF(AN132=12,K132,0)</f>
        <v>0</v>
      </c>
      <c r="AL132" s="88" t="n">
        <f aca="false">IF(AN132=21,K132,0)</f>
        <v>0</v>
      </c>
      <c r="AN132" s="88" t="n">
        <v>21</v>
      </c>
      <c r="AO132" s="88" t="n">
        <f aca="false">H132*0.066862416</f>
        <v>0</v>
      </c>
      <c r="AP132" s="88" t="n">
        <f aca="false">H132*(1-0.066862416)</f>
        <v>0</v>
      </c>
      <c r="AQ132" s="87" t="s">
        <v>151</v>
      </c>
      <c r="AV132" s="88" t="n">
        <f aca="false">ROUND(AW132+AX132,2)</f>
        <v>0</v>
      </c>
      <c r="AW132" s="88" t="n">
        <f aca="false">ROUND(G132*AO132,2)</f>
        <v>0</v>
      </c>
      <c r="AX132" s="88" t="n">
        <f aca="false">ROUND(G132*AP132,2)</f>
        <v>0</v>
      </c>
      <c r="AY132" s="87" t="s">
        <v>389</v>
      </c>
      <c r="AZ132" s="87" t="s">
        <v>367</v>
      </c>
      <c r="BA132" s="116" t="s">
        <v>368</v>
      </c>
      <c r="BC132" s="88" t="n">
        <f aca="false">AW132+AX132</f>
        <v>0</v>
      </c>
      <c r="BD132" s="88" t="n">
        <f aca="false">H132/(100-BE132)*100</f>
        <v>0</v>
      </c>
      <c r="BE132" s="88" t="n">
        <v>0</v>
      </c>
      <c r="BF132" s="88" t="n">
        <f aca="false">M132</f>
        <v>0</v>
      </c>
      <c r="BH132" s="88" t="n">
        <f aca="false">G132*AO132</f>
        <v>0</v>
      </c>
      <c r="BI132" s="88" t="n">
        <f aca="false">G132*AP132</f>
        <v>0</v>
      </c>
      <c r="BJ132" s="88" t="n">
        <f aca="false">G132*H132</f>
        <v>0</v>
      </c>
      <c r="BK132" s="87" t="s">
        <v>159</v>
      </c>
      <c r="BL132" s="88" t="n">
        <v>18</v>
      </c>
      <c r="BW132" s="88" t="n">
        <v>21</v>
      </c>
      <c r="BX132" s="9" t="s">
        <v>500</v>
      </c>
    </row>
    <row r="133" customFormat="false" ht="15" hidden="false" customHeight="true" outlineLevel="0" collapsed="false">
      <c r="A133" s="139" t="s">
        <v>501</v>
      </c>
      <c r="B133" s="139" t="s">
        <v>109</v>
      </c>
      <c r="C133" s="139" t="s">
        <v>502</v>
      </c>
      <c r="D133" s="140" t="s">
        <v>503</v>
      </c>
      <c r="E133" s="140"/>
      <c r="F133" s="139" t="s">
        <v>325</v>
      </c>
      <c r="G133" s="141" t="n">
        <v>0.294</v>
      </c>
      <c r="H133" s="142"/>
      <c r="I133" s="142" t="n">
        <f aca="false">ROUND(G133*AO133,2)</f>
        <v>0</v>
      </c>
      <c r="J133" s="142" t="n">
        <f aca="false">ROUND(G133*AP133,2)</f>
        <v>0</v>
      </c>
      <c r="K133" s="142" t="n">
        <f aca="false">ROUND(G133*H133,2)</f>
        <v>0</v>
      </c>
      <c r="L133" s="142" t="n">
        <v>0.001</v>
      </c>
      <c r="M133" s="142" t="n">
        <f aca="false">G133*L133</f>
        <v>0.000294</v>
      </c>
      <c r="N133" s="143" t="s">
        <v>155</v>
      </c>
      <c r="Z133" s="88" t="n">
        <f aca="false">ROUND(IF(AQ133="5",BJ133,0),2)</f>
        <v>0</v>
      </c>
      <c r="AB133" s="88" t="n">
        <f aca="false">ROUND(IF(AQ133="1",BH133,0),2)</f>
        <v>0</v>
      </c>
      <c r="AC133" s="88" t="n">
        <f aca="false">ROUND(IF(AQ133="1",BI133,0),2)</f>
        <v>0</v>
      </c>
      <c r="AD133" s="88" t="n">
        <f aca="false">ROUND(IF(AQ133="7",BH133,0),2)</f>
        <v>0</v>
      </c>
      <c r="AE133" s="88" t="n">
        <f aca="false">ROUND(IF(AQ133="7",BI133,0),2)</f>
        <v>0</v>
      </c>
      <c r="AF133" s="88" t="n">
        <f aca="false">ROUND(IF(AQ133="2",BH133,0),2)</f>
        <v>0</v>
      </c>
      <c r="AG133" s="88" t="n">
        <f aca="false">ROUND(IF(AQ133="2",BI133,0),2)</f>
        <v>0</v>
      </c>
      <c r="AH133" s="88" t="n">
        <f aca="false">ROUND(IF(AQ133="0",BJ133,0),2)</f>
        <v>0</v>
      </c>
      <c r="AI133" s="116" t="s">
        <v>109</v>
      </c>
      <c r="AJ133" s="144" t="n">
        <f aca="false">IF(AN133=0,K133,0)</f>
        <v>0</v>
      </c>
      <c r="AK133" s="144" t="n">
        <f aca="false">IF(AN133=12,K133,0)</f>
        <v>0</v>
      </c>
      <c r="AL133" s="144" t="n">
        <f aca="false">IF(AN133=21,K133,0)</f>
        <v>0</v>
      </c>
      <c r="AN133" s="88" t="n">
        <v>21</v>
      </c>
      <c r="AO133" s="88" t="n">
        <f aca="false">H133*1</f>
        <v>0</v>
      </c>
      <c r="AP133" s="88" t="n">
        <f aca="false">H133*(1-1)</f>
        <v>0</v>
      </c>
      <c r="AQ133" s="145" t="s">
        <v>151</v>
      </c>
      <c r="AV133" s="88" t="n">
        <f aca="false">ROUND(AW133+AX133,2)</f>
        <v>0</v>
      </c>
      <c r="AW133" s="88" t="n">
        <f aca="false">ROUND(G133*AO133,2)</f>
        <v>0</v>
      </c>
      <c r="AX133" s="88" t="n">
        <f aca="false">ROUND(G133*AP133,2)</f>
        <v>0</v>
      </c>
      <c r="AY133" s="87" t="s">
        <v>389</v>
      </c>
      <c r="AZ133" s="87" t="s">
        <v>367</v>
      </c>
      <c r="BA133" s="116" t="s">
        <v>368</v>
      </c>
      <c r="BC133" s="88" t="n">
        <f aca="false">AW133+AX133</f>
        <v>0</v>
      </c>
      <c r="BD133" s="88" t="n">
        <f aca="false">H133/(100-BE133)*100</f>
        <v>0</v>
      </c>
      <c r="BE133" s="88" t="n">
        <v>0</v>
      </c>
      <c r="BF133" s="88" t="n">
        <f aca="false">M133</f>
        <v>0.000294</v>
      </c>
      <c r="BH133" s="144" t="n">
        <f aca="false">G133*AO133</f>
        <v>0</v>
      </c>
      <c r="BI133" s="144" t="n">
        <f aca="false">G133*AP133</f>
        <v>0</v>
      </c>
      <c r="BJ133" s="144" t="n">
        <f aca="false">G133*H133</f>
        <v>0</v>
      </c>
      <c r="BK133" s="145" t="s">
        <v>180</v>
      </c>
      <c r="BL133" s="88" t="n">
        <v>18</v>
      </c>
      <c r="BW133" s="88" t="n">
        <v>21</v>
      </c>
      <c r="BX133" s="146" t="s">
        <v>503</v>
      </c>
    </row>
    <row r="134" customFormat="false" ht="15" hidden="false" customHeight="true" outlineLevel="0" collapsed="false">
      <c r="A134" s="134" t="s">
        <v>504</v>
      </c>
      <c r="B134" s="134" t="s">
        <v>109</v>
      </c>
      <c r="C134" s="134" t="s">
        <v>505</v>
      </c>
      <c r="D134" s="135" t="s">
        <v>506</v>
      </c>
      <c r="E134" s="135"/>
      <c r="F134" s="134" t="s">
        <v>169</v>
      </c>
      <c r="G134" s="136" t="n">
        <v>9.8</v>
      </c>
      <c r="H134" s="137"/>
      <c r="I134" s="137" t="n">
        <f aca="false">ROUND(G134*AO134,2)</f>
        <v>0</v>
      </c>
      <c r="J134" s="137" t="n">
        <f aca="false">ROUND(G134*AP134,2)</f>
        <v>0</v>
      </c>
      <c r="K134" s="137" t="n">
        <f aca="false">ROUND(G134*H134,2)</f>
        <v>0</v>
      </c>
      <c r="L134" s="137" t="n">
        <v>0</v>
      </c>
      <c r="M134" s="137" t="n">
        <f aca="false">G134*L134</f>
        <v>0</v>
      </c>
      <c r="N134" s="138" t="s">
        <v>155</v>
      </c>
      <c r="Z134" s="88" t="n">
        <f aca="false">ROUND(IF(AQ134="5",BJ134,0),2)</f>
        <v>0</v>
      </c>
      <c r="AB134" s="88" t="n">
        <f aca="false">ROUND(IF(AQ134="1",BH134,0),2)</f>
        <v>0</v>
      </c>
      <c r="AC134" s="88" t="n">
        <f aca="false">ROUND(IF(AQ134="1",BI134,0),2)</f>
        <v>0</v>
      </c>
      <c r="AD134" s="88" t="n">
        <f aca="false">ROUND(IF(AQ134="7",BH134,0),2)</f>
        <v>0</v>
      </c>
      <c r="AE134" s="88" t="n">
        <f aca="false">ROUND(IF(AQ134="7",BI134,0),2)</f>
        <v>0</v>
      </c>
      <c r="AF134" s="88" t="n">
        <f aca="false">ROUND(IF(AQ134="2",BH134,0),2)</f>
        <v>0</v>
      </c>
      <c r="AG134" s="88" t="n">
        <f aca="false">ROUND(IF(AQ134="2",BI134,0),2)</f>
        <v>0</v>
      </c>
      <c r="AH134" s="88" t="n">
        <f aca="false">ROUND(IF(AQ134="0",BJ134,0),2)</f>
        <v>0</v>
      </c>
      <c r="AI134" s="116" t="s">
        <v>109</v>
      </c>
      <c r="AJ134" s="88" t="n">
        <f aca="false">IF(AN134=0,K134,0)</f>
        <v>0</v>
      </c>
      <c r="AK134" s="88" t="n">
        <f aca="false">IF(AN134=12,K134,0)</f>
        <v>0</v>
      </c>
      <c r="AL134" s="88" t="n">
        <f aca="false">IF(AN134=21,K134,0)</f>
        <v>0</v>
      </c>
      <c r="AN134" s="88" t="n">
        <v>21</v>
      </c>
      <c r="AO134" s="88" t="n">
        <f aca="false">H134*0</f>
        <v>0</v>
      </c>
      <c r="AP134" s="88" t="n">
        <f aca="false">H134*(1-0)</f>
        <v>0</v>
      </c>
      <c r="AQ134" s="87" t="s">
        <v>151</v>
      </c>
      <c r="AV134" s="88" t="n">
        <f aca="false">ROUND(AW134+AX134,2)</f>
        <v>0</v>
      </c>
      <c r="AW134" s="88" t="n">
        <f aca="false">ROUND(G134*AO134,2)</f>
        <v>0</v>
      </c>
      <c r="AX134" s="88" t="n">
        <f aca="false">ROUND(G134*AP134,2)</f>
        <v>0</v>
      </c>
      <c r="AY134" s="87" t="s">
        <v>389</v>
      </c>
      <c r="AZ134" s="87" t="s">
        <v>367</v>
      </c>
      <c r="BA134" s="116" t="s">
        <v>368</v>
      </c>
      <c r="BC134" s="88" t="n">
        <f aca="false">AW134+AX134</f>
        <v>0</v>
      </c>
      <c r="BD134" s="88" t="n">
        <f aca="false">H134/(100-BE134)*100</f>
        <v>0</v>
      </c>
      <c r="BE134" s="88" t="n">
        <v>0</v>
      </c>
      <c r="BF134" s="88" t="n">
        <f aca="false">M134</f>
        <v>0</v>
      </c>
      <c r="BH134" s="88" t="n">
        <f aca="false">G134*AO134</f>
        <v>0</v>
      </c>
      <c r="BI134" s="88" t="n">
        <f aca="false">G134*AP134</f>
        <v>0</v>
      </c>
      <c r="BJ134" s="88" t="n">
        <f aca="false">G134*H134</f>
        <v>0</v>
      </c>
      <c r="BK134" s="87" t="s">
        <v>159</v>
      </c>
      <c r="BL134" s="88" t="n">
        <v>18</v>
      </c>
      <c r="BW134" s="88" t="n">
        <v>21</v>
      </c>
      <c r="BX134" s="9" t="s">
        <v>506</v>
      </c>
    </row>
    <row r="135" customFormat="false" ht="15" hidden="false" customHeight="true" outlineLevel="0" collapsed="false">
      <c r="A135" s="134" t="s">
        <v>507</v>
      </c>
      <c r="B135" s="134" t="s">
        <v>109</v>
      </c>
      <c r="C135" s="134" t="s">
        <v>508</v>
      </c>
      <c r="D135" s="135" t="s">
        <v>509</v>
      </c>
      <c r="E135" s="135"/>
      <c r="F135" s="134" t="s">
        <v>169</v>
      </c>
      <c r="G135" s="136" t="n">
        <v>9.8</v>
      </c>
      <c r="H135" s="137"/>
      <c r="I135" s="137" t="n">
        <f aca="false">ROUND(G135*AO135,2)</f>
        <v>0</v>
      </c>
      <c r="J135" s="137" t="n">
        <f aca="false">ROUND(G135*AP135,2)</f>
        <v>0</v>
      </c>
      <c r="K135" s="137" t="n">
        <f aca="false">ROUND(G135*H135,2)</f>
        <v>0</v>
      </c>
      <c r="L135" s="137" t="n">
        <v>0</v>
      </c>
      <c r="M135" s="137" t="n">
        <f aca="false">G135*L135</f>
        <v>0</v>
      </c>
      <c r="N135" s="138" t="s">
        <v>155</v>
      </c>
      <c r="Z135" s="88" t="n">
        <f aca="false">ROUND(IF(AQ135="5",BJ135,0),2)</f>
        <v>0</v>
      </c>
      <c r="AB135" s="88" t="n">
        <f aca="false">ROUND(IF(AQ135="1",BH135,0),2)</f>
        <v>0</v>
      </c>
      <c r="AC135" s="88" t="n">
        <f aca="false">ROUND(IF(AQ135="1",BI135,0),2)</f>
        <v>0</v>
      </c>
      <c r="AD135" s="88" t="n">
        <f aca="false">ROUND(IF(AQ135="7",BH135,0),2)</f>
        <v>0</v>
      </c>
      <c r="AE135" s="88" t="n">
        <f aca="false">ROUND(IF(AQ135="7",BI135,0),2)</f>
        <v>0</v>
      </c>
      <c r="AF135" s="88" t="n">
        <f aca="false">ROUND(IF(AQ135="2",BH135,0),2)</f>
        <v>0</v>
      </c>
      <c r="AG135" s="88" t="n">
        <f aca="false">ROUND(IF(AQ135="2",BI135,0),2)</f>
        <v>0</v>
      </c>
      <c r="AH135" s="88" t="n">
        <f aca="false">ROUND(IF(AQ135="0",BJ135,0),2)</f>
        <v>0</v>
      </c>
      <c r="AI135" s="116" t="s">
        <v>109</v>
      </c>
      <c r="AJ135" s="88" t="n">
        <f aca="false">IF(AN135=0,K135,0)</f>
        <v>0</v>
      </c>
      <c r="AK135" s="88" t="n">
        <f aca="false">IF(AN135=12,K135,0)</f>
        <v>0</v>
      </c>
      <c r="AL135" s="88" t="n">
        <f aca="false">IF(AN135=21,K135,0)</f>
        <v>0</v>
      </c>
      <c r="AN135" s="88" t="n">
        <v>21</v>
      </c>
      <c r="AO135" s="88" t="n">
        <f aca="false">H135*0</f>
        <v>0</v>
      </c>
      <c r="AP135" s="88" t="n">
        <f aca="false">H135*(1-0)</f>
        <v>0</v>
      </c>
      <c r="AQ135" s="87" t="s">
        <v>151</v>
      </c>
      <c r="AV135" s="88" t="n">
        <f aca="false">ROUND(AW135+AX135,2)</f>
        <v>0</v>
      </c>
      <c r="AW135" s="88" t="n">
        <f aca="false">ROUND(G135*AO135,2)</f>
        <v>0</v>
      </c>
      <c r="AX135" s="88" t="n">
        <f aca="false">ROUND(G135*AP135,2)</f>
        <v>0</v>
      </c>
      <c r="AY135" s="87" t="s">
        <v>389</v>
      </c>
      <c r="AZ135" s="87" t="s">
        <v>367</v>
      </c>
      <c r="BA135" s="116" t="s">
        <v>368</v>
      </c>
      <c r="BC135" s="88" t="n">
        <f aca="false">AW135+AX135</f>
        <v>0</v>
      </c>
      <c r="BD135" s="88" t="n">
        <f aca="false">H135/(100-BE135)*100</f>
        <v>0</v>
      </c>
      <c r="BE135" s="88" t="n">
        <v>0</v>
      </c>
      <c r="BF135" s="88" t="n">
        <f aca="false">M135</f>
        <v>0</v>
      </c>
      <c r="BH135" s="88" t="n">
        <f aca="false">G135*AO135</f>
        <v>0</v>
      </c>
      <c r="BI135" s="88" t="n">
        <f aca="false">G135*AP135</f>
        <v>0</v>
      </c>
      <c r="BJ135" s="88" t="n">
        <f aca="false">G135*H135</f>
        <v>0</v>
      </c>
      <c r="BK135" s="87" t="s">
        <v>159</v>
      </c>
      <c r="BL135" s="88" t="n">
        <v>18</v>
      </c>
      <c r="BW135" s="88" t="n">
        <v>21</v>
      </c>
      <c r="BX135" s="9" t="s">
        <v>509</v>
      </c>
    </row>
    <row r="136" customFormat="false" ht="15" hidden="false" customHeight="true" outlineLevel="0" collapsed="false">
      <c r="A136" s="134" t="s">
        <v>510</v>
      </c>
      <c r="B136" s="134" t="s">
        <v>109</v>
      </c>
      <c r="C136" s="134" t="s">
        <v>511</v>
      </c>
      <c r="D136" s="135" t="s">
        <v>512</v>
      </c>
      <c r="E136" s="135"/>
      <c r="F136" s="134" t="s">
        <v>169</v>
      </c>
      <c r="G136" s="136" t="n">
        <v>9.8</v>
      </c>
      <c r="H136" s="137"/>
      <c r="I136" s="137" t="n">
        <f aca="false">ROUND(G136*AO136,2)</f>
        <v>0</v>
      </c>
      <c r="J136" s="137" t="n">
        <f aca="false">ROUND(G136*AP136,2)</f>
        <v>0</v>
      </c>
      <c r="K136" s="137" t="n">
        <f aca="false">ROUND(G136*H136,2)</f>
        <v>0</v>
      </c>
      <c r="L136" s="137" t="n">
        <v>0</v>
      </c>
      <c r="M136" s="137" t="n">
        <f aca="false">G136*L136</f>
        <v>0</v>
      </c>
      <c r="N136" s="138" t="s">
        <v>155</v>
      </c>
      <c r="Z136" s="88" t="n">
        <f aca="false">ROUND(IF(AQ136="5",BJ136,0),2)</f>
        <v>0</v>
      </c>
      <c r="AB136" s="88" t="n">
        <f aca="false">ROUND(IF(AQ136="1",BH136,0),2)</f>
        <v>0</v>
      </c>
      <c r="AC136" s="88" t="n">
        <f aca="false">ROUND(IF(AQ136="1",BI136,0),2)</f>
        <v>0</v>
      </c>
      <c r="AD136" s="88" t="n">
        <f aca="false">ROUND(IF(AQ136="7",BH136,0),2)</f>
        <v>0</v>
      </c>
      <c r="AE136" s="88" t="n">
        <f aca="false">ROUND(IF(AQ136="7",BI136,0),2)</f>
        <v>0</v>
      </c>
      <c r="AF136" s="88" t="n">
        <f aca="false">ROUND(IF(AQ136="2",BH136,0),2)</f>
        <v>0</v>
      </c>
      <c r="AG136" s="88" t="n">
        <f aca="false">ROUND(IF(AQ136="2",BI136,0),2)</f>
        <v>0</v>
      </c>
      <c r="AH136" s="88" t="n">
        <f aca="false">ROUND(IF(AQ136="0",BJ136,0),2)</f>
        <v>0</v>
      </c>
      <c r="AI136" s="116" t="s">
        <v>109</v>
      </c>
      <c r="AJ136" s="88" t="n">
        <f aca="false">IF(AN136=0,K136,0)</f>
        <v>0</v>
      </c>
      <c r="AK136" s="88" t="n">
        <f aca="false">IF(AN136=12,K136,0)</f>
        <v>0</v>
      </c>
      <c r="AL136" s="88" t="n">
        <f aca="false">IF(AN136=21,K136,0)</f>
        <v>0</v>
      </c>
      <c r="AN136" s="88" t="n">
        <v>21</v>
      </c>
      <c r="AO136" s="88" t="n">
        <f aca="false">H136*0</f>
        <v>0</v>
      </c>
      <c r="AP136" s="88" t="n">
        <f aca="false">H136*(1-0)</f>
        <v>0</v>
      </c>
      <c r="AQ136" s="87" t="s">
        <v>151</v>
      </c>
      <c r="AV136" s="88" t="n">
        <f aca="false">ROUND(AW136+AX136,2)</f>
        <v>0</v>
      </c>
      <c r="AW136" s="88" t="n">
        <f aca="false">ROUND(G136*AO136,2)</f>
        <v>0</v>
      </c>
      <c r="AX136" s="88" t="n">
        <f aca="false">ROUND(G136*AP136,2)</f>
        <v>0</v>
      </c>
      <c r="AY136" s="87" t="s">
        <v>389</v>
      </c>
      <c r="AZ136" s="87" t="s">
        <v>367</v>
      </c>
      <c r="BA136" s="116" t="s">
        <v>368</v>
      </c>
      <c r="BC136" s="88" t="n">
        <f aca="false">AW136+AX136</f>
        <v>0</v>
      </c>
      <c r="BD136" s="88" t="n">
        <f aca="false">H136/(100-BE136)*100</f>
        <v>0</v>
      </c>
      <c r="BE136" s="88" t="n">
        <v>0</v>
      </c>
      <c r="BF136" s="88" t="n">
        <f aca="false">M136</f>
        <v>0</v>
      </c>
      <c r="BH136" s="88" t="n">
        <f aca="false">G136*AO136</f>
        <v>0</v>
      </c>
      <c r="BI136" s="88" t="n">
        <f aca="false">G136*AP136</f>
        <v>0</v>
      </c>
      <c r="BJ136" s="88" t="n">
        <f aca="false">G136*H136</f>
        <v>0</v>
      </c>
      <c r="BK136" s="87" t="s">
        <v>159</v>
      </c>
      <c r="BL136" s="88" t="n">
        <v>18</v>
      </c>
      <c r="BW136" s="88" t="n">
        <v>21</v>
      </c>
      <c r="BX136" s="9" t="s">
        <v>512</v>
      </c>
    </row>
    <row r="137" customFormat="false" ht="23.85" hidden="false" customHeight="true" outlineLevel="0" collapsed="false">
      <c r="A137" s="134" t="s">
        <v>513</v>
      </c>
      <c r="B137" s="134" t="s">
        <v>109</v>
      </c>
      <c r="C137" s="134" t="s">
        <v>365</v>
      </c>
      <c r="D137" s="135" t="s">
        <v>366</v>
      </c>
      <c r="E137" s="135"/>
      <c r="F137" s="134" t="s">
        <v>169</v>
      </c>
      <c r="G137" s="136" t="n">
        <v>19.6</v>
      </c>
      <c r="H137" s="137"/>
      <c r="I137" s="137" t="n">
        <f aca="false">ROUND(G137*AO137,2)</f>
        <v>0</v>
      </c>
      <c r="J137" s="137" t="n">
        <f aca="false">ROUND(G137*AP137,2)</f>
        <v>0</v>
      </c>
      <c r="K137" s="137" t="n">
        <f aca="false">ROUND(G137*H137,2)</f>
        <v>0</v>
      </c>
      <c r="L137" s="137" t="n">
        <v>0</v>
      </c>
      <c r="M137" s="137" t="n">
        <f aca="false">G137*L137</f>
        <v>0</v>
      </c>
      <c r="N137" s="138" t="s">
        <v>155</v>
      </c>
      <c r="Z137" s="88" t="n">
        <f aca="false">ROUND(IF(AQ137="5",BJ137,0),2)</f>
        <v>0</v>
      </c>
      <c r="AB137" s="88" t="n">
        <f aca="false">ROUND(IF(AQ137="1",BH137,0),2)</f>
        <v>0</v>
      </c>
      <c r="AC137" s="88" t="n">
        <f aca="false">ROUND(IF(AQ137="1",BI137,0),2)</f>
        <v>0</v>
      </c>
      <c r="AD137" s="88" t="n">
        <f aca="false">ROUND(IF(AQ137="7",BH137,0),2)</f>
        <v>0</v>
      </c>
      <c r="AE137" s="88" t="n">
        <f aca="false">ROUND(IF(AQ137="7",BI137,0),2)</f>
        <v>0</v>
      </c>
      <c r="AF137" s="88" t="n">
        <f aca="false">ROUND(IF(AQ137="2",BH137,0),2)</f>
        <v>0</v>
      </c>
      <c r="AG137" s="88" t="n">
        <f aca="false">ROUND(IF(AQ137="2",BI137,0),2)</f>
        <v>0</v>
      </c>
      <c r="AH137" s="88" t="n">
        <f aca="false">ROUND(IF(AQ137="0",BJ137,0),2)</f>
        <v>0</v>
      </c>
      <c r="AI137" s="116" t="s">
        <v>109</v>
      </c>
      <c r="AJ137" s="88" t="n">
        <f aca="false">IF(AN137=0,K137,0)</f>
        <v>0</v>
      </c>
      <c r="AK137" s="88" t="n">
        <f aca="false">IF(AN137=12,K137,0)</f>
        <v>0</v>
      </c>
      <c r="AL137" s="88" t="n">
        <f aca="false">IF(AN137=21,K137,0)</f>
        <v>0</v>
      </c>
      <c r="AN137" s="88" t="n">
        <v>21</v>
      </c>
      <c r="AO137" s="88" t="n">
        <f aca="false">H137*0.007235676</f>
        <v>0</v>
      </c>
      <c r="AP137" s="88" t="n">
        <f aca="false">H137*(1-0.007235676)</f>
        <v>0</v>
      </c>
      <c r="AQ137" s="87" t="s">
        <v>151</v>
      </c>
      <c r="AV137" s="88" t="n">
        <f aca="false">ROUND(AW137+AX137,2)</f>
        <v>0</v>
      </c>
      <c r="AW137" s="88" t="n">
        <f aca="false">ROUND(G137*AO137,2)</f>
        <v>0</v>
      </c>
      <c r="AX137" s="88" t="n">
        <f aca="false">ROUND(G137*AP137,2)</f>
        <v>0</v>
      </c>
      <c r="AY137" s="87" t="s">
        <v>389</v>
      </c>
      <c r="AZ137" s="87" t="s">
        <v>367</v>
      </c>
      <c r="BA137" s="116" t="s">
        <v>368</v>
      </c>
      <c r="BC137" s="88" t="n">
        <f aca="false">AW137+AX137</f>
        <v>0</v>
      </c>
      <c r="BD137" s="88" t="n">
        <f aca="false">H137/(100-BE137)*100</f>
        <v>0</v>
      </c>
      <c r="BE137" s="88" t="n">
        <v>0</v>
      </c>
      <c r="BF137" s="88" t="n">
        <f aca="false">M137</f>
        <v>0</v>
      </c>
      <c r="BH137" s="88" t="n">
        <f aca="false">G137*AO137</f>
        <v>0</v>
      </c>
      <c r="BI137" s="88" t="n">
        <f aca="false">G137*AP137</f>
        <v>0</v>
      </c>
      <c r="BJ137" s="88" t="n">
        <f aca="false">G137*H137</f>
        <v>0</v>
      </c>
      <c r="BK137" s="87" t="s">
        <v>159</v>
      </c>
      <c r="BL137" s="88" t="n">
        <v>18</v>
      </c>
      <c r="BW137" s="88" t="n">
        <v>21</v>
      </c>
      <c r="BX137" s="9" t="s">
        <v>366</v>
      </c>
    </row>
    <row r="138" customFormat="false" ht="15" hidden="false" customHeight="true" outlineLevel="0" collapsed="false">
      <c r="A138" s="139" t="s">
        <v>514</v>
      </c>
      <c r="B138" s="139" t="s">
        <v>109</v>
      </c>
      <c r="C138" s="139" t="s">
        <v>370</v>
      </c>
      <c r="D138" s="140" t="s">
        <v>371</v>
      </c>
      <c r="E138" s="140"/>
      <c r="F138" s="139" t="s">
        <v>372</v>
      </c>
      <c r="G138" s="141" t="n">
        <v>0.001</v>
      </c>
      <c r="H138" s="142"/>
      <c r="I138" s="142" t="n">
        <f aca="false">ROUND(G138*AO138,2)</f>
        <v>0</v>
      </c>
      <c r="J138" s="142" t="n">
        <f aca="false">ROUND(G138*AP138,2)</f>
        <v>0</v>
      </c>
      <c r="K138" s="142" t="n">
        <f aca="false">ROUND(G138*H138,2)</f>
        <v>0</v>
      </c>
      <c r="L138" s="142" t="n">
        <v>0.001</v>
      </c>
      <c r="M138" s="142" t="n">
        <f aca="false">G138*L138</f>
        <v>1E-006</v>
      </c>
      <c r="N138" s="143" t="s">
        <v>155</v>
      </c>
      <c r="Z138" s="88" t="n">
        <f aca="false">ROUND(IF(AQ138="5",BJ138,0),2)</f>
        <v>0</v>
      </c>
      <c r="AB138" s="88" t="n">
        <f aca="false">ROUND(IF(AQ138="1",BH138,0),2)</f>
        <v>0</v>
      </c>
      <c r="AC138" s="88" t="n">
        <f aca="false">ROUND(IF(AQ138="1",BI138,0),2)</f>
        <v>0</v>
      </c>
      <c r="AD138" s="88" t="n">
        <f aca="false">ROUND(IF(AQ138="7",BH138,0),2)</f>
        <v>0</v>
      </c>
      <c r="AE138" s="88" t="n">
        <f aca="false">ROUND(IF(AQ138="7",BI138,0),2)</f>
        <v>0</v>
      </c>
      <c r="AF138" s="88" t="n">
        <f aca="false">ROUND(IF(AQ138="2",BH138,0),2)</f>
        <v>0</v>
      </c>
      <c r="AG138" s="88" t="n">
        <f aca="false">ROUND(IF(AQ138="2",BI138,0),2)</f>
        <v>0</v>
      </c>
      <c r="AH138" s="88" t="n">
        <f aca="false">ROUND(IF(AQ138="0",BJ138,0),2)</f>
        <v>0</v>
      </c>
      <c r="AI138" s="116" t="s">
        <v>109</v>
      </c>
      <c r="AJ138" s="144" t="n">
        <f aca="false">IF(AN138=0,K138,0)</f>
        <v>0</v>
      </c>
      <c r="AK138" s="144" t="n">
        <f aca="false">IF(AN138=12,K138,0)</f>
        <v>0</v>
      </c>
      <c r="AL138" s="144" t="n">
        <f aca="false">IF(AN138=21,K138,0)</f>
        <v>0</v>
      </c>
      <c r="AN138" s="88" t="n">
        <v>21</v>
      </c>
      <c r="AO138" s="88" t="n">
        <f aca="false">H138*1</f>
        <v>0</v>
      </c>
      <c r="AP138" s="88" t="n">
        <f aca="false">H138*(1-1)</f>
        <v>0</v>
      </c>
      <c r="AQ138" s="145" t="s">
        <v>151</v>
      </c>
      <c r="AV138" s="88" t="n">
        <f aca="false">ROUND(AW138+AX138,2)</f>
        <v>0</v>
      </c>
      <c r="AW138" s="88" t="n">
        <f aca="false">ROUND(G138*AO138,2)</f>
        <v>0</v>
      </c>
      <c r="AX138" s="88" t="n">
        <f aca="false">ROUND(G138*AP138,2)</f>
        <v>0</v>
      </c>
      <c r="AY138" s="87" t="s">
        <v>389</v>
      </c>
      <c r="AZ138" s="87" t="s">
        <v>367</v>
      </c>
      <c r="BA138" s="116" t="s">
        <v>368</v>
      </c>
      <c r="BC138" s="88" t="n">
        <f aca="false">AW138+AX138</f>
        <v>0</v>
      </c>
      <c r="BD138" s="88" t="n">
        <f aca="false">H138/(100-BE138)*100</f>
        <v>0</v>
      </c>
      <c r="BE138" s="88" t="n">
        <v>0</v>
      </c>
      <c r="BF138" s="88" t="n">
        <f aca="false">M138</f>
        <v>1E-006</v>
      </c>
      <c r="BH138" s="144" t="n">
        <f aca="false">G138*AO138</f>
        <v>0</v>
      </c>
      <c r="BI138" s="144" t="n">
        <f aca="false">G138*AP138</f>
        <v>0</v>
      </c>
      <c r="BJ138" s="144" t="n">
        <f aca="false">G138*H138</f>
        <v>0</v>
      </c>
      <c r="BK138" s="145" t="s">
        <v>180</v>
      </c>
      <c r="BL138" s="88" t="n">
        <v>18</v>
      </c>
      <c r="BW138" s="88" t="n">
        <v>21</v>
      </c>
      <c r="BX138" s="146" t="s">
        <v>371</v>
      </c>
    </row>
    <row r="139" customFormat="false" ht="15" hidden="false" customHeight="true" outlineLevel="0" collapsed="false">
      <c r="A139" s="134" t="s">
        <v>515</v>
      </c>
      <c r="B139" s="134" t="s">
        <v>109</v>
      </c>
      <c r="C139" s="134" t="s">
        <v>410</v>
      </c>
      <c r="D139" s="135" t="s">
        <v>411</v>
      </c>
      <c r="E139" s="135"/>
      <c r="F139" s="134" t="s">
        <v>189</v>
      </c>
      <c r="G139" s="136" t="n">
        <v>0.196</v>
      </c>
      <c r="H139" s="137"/>
      <c r="I139" s="137" t="n">
        <f aca="false">ROUND(G139*AO139,2)</f>
        <v>0</v>
      </c>
      <c r="J139" s="137" t="n">
        <f aca="false">ROUND(G139*AP139,2)</f>
        <v>0</v>
      </c>
      <c r="K139" s="137" t="n">
        <f aca="false">ROUND(G139*H139,2)</f>
        <v>0</v>
      </c>
      <c r="L139" s="137" t="n">
        <v>0</v>
      </c>
      <c r="M139" s="137" t="n">
        <f aca="false">G139*L139</f>
        <v>0</v>
      </c>
      <c r="N139" s="138" t="s">
        <v>155</v>
      </c>
      <c r="Z139" s="88" t="n">
        <f aca="false">ROUND(IF(AQ139="5",BJ139,0),2)</f>
        <v>0</v>
      </c>
      <c r="AB139" s="88" t="n">
        <f aca="false">ROUND(IF(AQ139="1",BH139,0),2)</f>
        <v>0</v>
      </c>
      <c r="AC139" s="88" t="n">
        <f aca="false">ROUND(IF(AQ139="1",BI139,0),2)</f>
        <v>0</v>
      </c>
      <c r="AD139" s="88" t="n">
        <f aca="false">ROUND(IF(AQ139="7",BH139,0),2)</f>
        <v>0</v>
      </c>
      <c r="AE139" s="88" t="n">
        <f aca="false">ROUND(IF(AQ139="7",BI139,0),2)</f>
        <v>0</v>
      </c>
      <c r="AF139" s="88" t="n">
        <f aca="false">ROUND(IF(AQ139="2",BH139,0),2)</f>
        <v>0</v>
      </c>
      <c r="AG139" s="88" t="n">
        <f aca="false">ROUND(IF(AQ139="2",BI139,0),2)</f>
        <v>0</v>
      </c>
      <c r="AH139" s="88" t="n">
        <f aca="false">ROUND(IF(AQ139="0",BJ139,0),2)</f>
        <v>0</v>
      </c>
      <c r="AI139" s="116" t="s">
        <v>109</v>
      </c>
      <c r="AJ139" s="88" t="n">
        <f aca="false">IF(AN139=0,K139,0)</f>
        <v>0</v>
      </c>
      <c r="AK139" s="88" t="n">
        <f aca="false">IF(AN139=12,K139,0)</f>
        <v>0</v>
      </c>
      <c r="AL139" s="88" t="n">
        <f aca="false">IF(AN139=21,K139,0)</f>
        <v>0</v>
      </c>
      <c r="AN139" s="88" t="n">
        <v>21</v>
      </c>
      <c r="AO139" s="88" t="n">
        <f aca="false">H139*0.292862399</f>
        <v>0</v>
      </c>
      <c r="AP139" s="88" t="n">
        <f aca="false">H139*(1-0.292862399)</f>
        <v>0</v>
      </c>
      <c r="AQ139" s="87" t="s">
        <v>151</v>
      </c>
      <c r="AV139" s="88" t="n">
        <f aca="false">ROUND(AW139+AX139,2)</f>
        <v>0</v>
      </c>
      <c r="AW139" s="88" t="n">
        <f aca="false">ROUND(G139*AO139,2)</f>
        <v>0</v>
      </c>
      <c r="AX139" s="88" t="n">
        <f aca="false">ROUND(G139*AP139,2)</f>
        <v>0</v>
      </c>
      <c r="AY139" s="87" t="s">
        <v>389</v>
      </c>
      <c r="AZ139" s="87" t="s">
        <v>367</v>
      </c>
      <c r="BA139" s="116" t="s">
        <v>368</v>
      </c>
      <c r="BC139" s="88" t="n">
        <f aca="false">AW139+AX139</f>
        <v>0</v>
      </c>
      <c r="BD139" s="88" t="n">
        <f aca="false">H139/(100-BE139)*100</f>
        <v>0</v>
      </c>
      <c r="BE139" s="88" t="n">
        <v>0</v>
      </c>
      <c r="BF139" s="88" t="n">
        <f aca="false">M139</f>
        <v>0</v>
      </c>
      <c r="BH139" s="88" t="n">
        <f aca="false">G139*AO139</f>
        <v>0</v>
      </c>
      <c r="BI139" s="88" t="n">
        <f aca="false">G139*AP139</f>
        <v>0</v>
      </c>
      <c r="BJ139" s="88" t="n">
        <f aca="false">G139*H139</f>
        <v>0</v>
      </c>
      <c r="BK139" s="87" t="s">
        <v>159</v>
      </c>
      <c r="BL139" s="88" t="n">
        <v>18</v>
      </c>
      <c r="BW139" s="88" t="n">
        <v>21</v>
      </c>
      <c r="BX139" s="9" t="s">
        <v>411</v>
      </c>
    </row>
    <row r="140" customFormat="false" ht="15" hidden="false" customHeight="true" outlineLevel="0" collapsed="false">
      <c r="A140" s="134" t="s">
        <v>516</v>
      </c>
      <c r="B140" s="134" t="s">
        <v>109</v>
      </c>
      <c r="C140" s="134" t="s">
        <v>413</v>
      </c>
      <c r="D140" s="135" t="s">
        <v>414</v>
      </c>
      <c r="E140" s="135"/>
      <c r="F140" s="134" t="s">
        <v>189</v>
      </c>
      <c r="G140" s="136" t="n">
        <v>0.196</v>
      </c>
      <c r="H140" s="137"/>
      <c r="I140" s="137" t="n">
        <f aca="false">ROUND(G140*AO140,2)</f>
        <v>0</v>
      </c>
      <c r="J140" s="137" t="n">
        <f aca="false">ROUND(G140*AP140,2)</f>
        <v>0</v>
      </c>
      <c r="K140" s="137" t="n">
        <f aca="false">ROUND(G140*H140,2)</f>
        <v>0</v>
      </c>
      <c r="L140" s="137" t="n">
        <v>0</v>
      </c>
      <c r="M140" s="137" t="n">
        <f aca="false">G140*L140</f>
        <v>0</v>
      </c>
      <c r="N140" s="138" t="s">
        <v>155</v>
      </c>
      <c r="Z140" s="88" t="n">
        <f aca="false">ROUND(IF(AQ140="5",BJ140,0),2)</f>
        <v>0</v>
      </c>
      <c r="AB140" s="88" t="n">
        <f aca="false">ROUND(IF(AQ140="1",BH140,0),2)</f>
        <v>0</v>
      </c>
      <c r="AC140" s="88" t="n">
        <f aca="false">ROUND(IF(AQ140="1",BI140,0),2)</f>
        <v>0</v>
      </c>
      <c r="AD140" s="88" t="n">
        <f aca="false">ROUND(IF(AQ140="7",BH140,0),2)</f>
        <v>0</v>
      </c>
      <c r="AE140" s="88" t="n">
        <f aca="false">ROUND(IF(AQ140="7",BI140,0),2)</f>
        <v>0</v>
      </c>
      <c r="AF140" s="88" t="n">
        <f aca="false">ROUND(IF(AQ140="2",BH140,0),2)</f>
        <v>0</v>
      </c>
      <c r="AG140" s="88" t="n">
        <f aca="false">ROUND(IF(AQ140="2",BI140,0),2)</f>
        <v>0</v>
      </c>
      <c r="AH140" s="88" t="n">
        <f aca="false">ROUND(IF(AQ140="0",BJ140,0),2)</f>
        <v>0</v>
      </c>
      <c r="AI140" s="116" t="s">
        <v>109</v>
      </c>
      <c r="AJ140" s="88" t="n">
        <f aca="false">IF(AN140=0,K140,0)</f>
        <v>0</v>
      </c>
      <c r="AK140" s="88" t="n">
        <f aca="false">IF(AN140=12,K140,0)</f>
        <v>0</v>
      </c>
      <c r="AL140" s="88" t="n">
        <f aca="false">IF(AN140=21,K140,0)</f>
        <v>0</v>
      </c>
      <c r="AN140" s="88" t="n">
        <v>21</v>
      </c>
      <c r="AO140" s="88" t="n">
        <f aca="false">H140*0</f>
        <v>0</v>
      </c>
      <c r="AP140" s="88" t="n">
        <f aca="false">H140*(1-0)</f>
        <v>0</v>
      </c>
      <c r="AQ140" s="87" t="s">
        <v>151</v>
      </c>
      <c r="AV140" s="88" t="n">
        <f aca="false">ROUND(AW140+AX140,2)</f>
        <v>0</v>
      </c>
      <c r="AW140" s="88" t="n">
        <f aca="false">ROUND(G140*AO140,2)</f>
        <v>0</v>
      </c>
      <c r="AX140" s="88" t="n">
        <f aca="false">ROUND(G140*AP140,2)</f>
        <v>0</v>
      </c>
      <c r="AY140" s="87" t="s">
        <v>389</v>
      </c>
      <c r="AZ140" s="87" t="s">
        <v>367</v>
      </c>
      <c r="BA140" s="116" t="s">
        <v>368</v>
      </c>
      <c r="BC140" s="88" t="n">
        <f aca="false">AW140+AX140</f>
        <v>0</v>
      </c>
      <c r="BD140" s="88" t="n">
        <f aca="false">H140/(100-BE140)*100</f>
        <v>0</v>
      </c>
      <c r="BE140" s="88" t="n">
        <v>0</v>
      </c>
      <c r="BF140" s="88" t="n">
        <f aca="false">M140</f>
        <v>0</v>
      </c>
      <c r="BH140" s="88" t="n">
        <f aca="false">G140*AO140</f>
        <v>0</v>
      </c>
      <c r="BI140" s="88" t="n">
        <f aca="false">G140*AP140</f>
        <v>0</v>
      </c>
      <c r="BJ140" s="88" t="n">
        <f aca="false">G140*H140</f>
        <v>0</v>
      </c>
      <c r="BK140" s="87" t="s">
        <v>159</v>
      </c>
      <c r="BL140" s="88" t="n">
        <v>18</v>
      </c>
      <c r="BW140" s="88" t="n">
        <v>21</v>
      </c>
      <c r="BX140" s="9" t="s">
        <v>414</v>
      </c>
    </row>
    <row r="141" customFormat="false" ht="15" hidden="false" customHeight="true" outlineLevel="0" collapsed="false">
      <c r="A141" s="134" t="s">
        <v>517</v>
      </c>
      <c r="B141" s="134" t="s">
        <v>109</v>
      </c>
      <c r="C141" s="134" t="s">
        <v>518</v>
      </c>
      <c r="D141" s="135" t="s">
        <v>519</v>
      </c>
      <c r="E141" s="135"/>
      <c r="F141" s="134" t="s">
        <v>169</v>
      </c>
      <c r="G141" s="136" t="n">
        <v>9.8</v>
      </c>
      <c r="H141" s="137"/>
      <c r="I141" s="137" t="n">
        <f aca="false">ROUND(G141*AO141,2)</f>
        <v>0</v>
      </c>
      <c r="J141" s="137" t="n">
        <f aca="false">ROUND(G141*AP141,2)</f>
        <v>0</v>
      </c>
      <c r="K141" s="137" t="n">
        <f aca="false">ROUND(G141*H141,2)</f>
        <v>0</v>
      </c>
      <c r="L141" s="137" t="n">
        <v>0</v>
      </c>
      <c r="M141" s="137" t="n">
        <f aca="false">G141*L141</f>
        <v>0</v>
      </c>
      <c r="N141" s="138" t="s">
        <v>155</v>
      </c>
      <c r="Z141" s="88" t="n">
        <f aca="false">ROUND(IF(AQ141="5",BJ141,0),2)</f>
        <v>0</v>
      </c>
      <c r="AB141" s="88" t="n">
        <f aca="false">ROUND(IF(AQ141="1",BH141,0),2)</f>
        <v>0</v>
      </c>
      <c r="AC141" s="88" t="n">
        <f aca="false">ROUND(IF(AQ141="1",BI141,0),2)</f>
        <v>0</v>
      </c>
      <c r="AD141" s="88" t="n">
        <f aca="false">ROUND(IF(AQ141="7",BH141,0),2)</f>
        <v>0</v>
      </c>
      <c r="AE141" s="88" t="n">
        <f aca="false">ROUND(IF(AQ141="7",BI141,0),2)</f>
        <v>0</v>
      </c>
      <c r="AF141" s="88" t="n">
        <f aca="false">ROUND(IF(AQ141="2",BH141,0),2)</f>
        <v>0</v>
      </c>
      <c r="AG141" s="88" t="n">
        <f aca="false">ROUND(IF(AQ141="2",BI141,0),2)</f>
        <v>0</v>
      </c>
      <c r="AH141" s="88" t="n">
        <f aca="false">ROUND(IF(AQ141="0",BJ141,0),2)</f>
        <v>0</v>
      </c>
      <c r="AI141" s="116" t="s">
        <v>109</v>
      </c>
      <c r="AJ141" s="88" t="n">
        <f aca="false">IF(AN141=0,K141,0)</f>
        <v>0</v>
      </c>
      <c r="AK141" s="88" t="n">
        <f aca="false">IF(AN141=12,K141,0)</f>
        <v>0</v>
      </c>
      <c r="AL141" s="88" t="n">
        <f aca="false">IF(AN141=21,K141,0)</f>
        <v>0</v>
      </c>
      <c r="AN141" s="88" t="n">
        <v>21</v>
      </c>
      <c r="AO141" s="88" t="n">
        <f aca="false">H141*0</f>
        <v>0</v>
      </c>
      <c r="AP141" s="88" t="n">
        <f aca="false">H141*(1-0)</f>
        <v>0</v>
      </c>
      <c r="AQ141" s="87" t="s">
        <v>151</v>
      </c>
      <c r="AV141" s="88" t="n">
        <f aca="false">ROUND(AW141+AX141,2)</f>
        <v>0</v>
      </c>
      <c r="AW141" s="88" t="n">
        <f aca="false">ROUND(G141*AO141,2)</f>
        <v>0</v>
      </c>
      <c r="AX141" s="88" t="n">
        <f aca="false">ROUND(G141*AP141,2)</f>
        <v>0</v>
      </c>
      <c r="AY141" s="87" t="s">
        <v>389</v>
      </c>
      <c r="AZ141" s="87" t="s">
        <v>367</v>
      </c>
      <c r="BA141" s="116" t="s">
        <v>368</v>
      </c>
      <c r="BC141" s="88" t="n">
        <f aca="false">AW141+AX141</f>
        <v>0</v>
      </c>
      <c r="BD141" s="88" t="n">
        <f aca="false">H141/(100-BE141)*100</f>
        <v>0</v>
      </c>
      <c r="BE141" s="88" t="n">
        <v>0</v>
      </c>
      <c r="BF141" s="88" t="n">
        <f aca="false">M141</f>
        <v>0</v>
      </c>
      <c r="BH141" s="88" t="n">
        <f aca="false">G141*AO141</f>
        <v>0</v>
      </c>
      <c r="BI141" s="88" t="n">
        <f aca="false">G141*AP141</f>
        <v>0</v>
      </c>
      <c r="BJ141" s="88" t="n">
        <f aca="false">G141*H141</f>
        <v>0</v>
      </c>
      <c r="BK141" s="87" t="s">
        <v>159</v>
      </c>
      <c r="BL141" s="88" t="n">
        <v>18</v>
      </c>
      <c r="BW141" s="88" t="n">
        <v>21</v>
      </c>
      <c r="BX141" s="9" t="s">
        <v>519</v>
      </c>
    </row>
    <row r="142" customFormat="false" ht="23.85" hidden="false" customHeight="true" outlineLevel="0" collapsed="false">
      <c r="A142" s="139" t="s">
        <v>520</v>
      </c>
      <c r="B142" s="139" t="s">
        <v>109</v>
      </c>
      <c r="C142" s="139" t="s">
        <v>521</v>
      </c>
      <c r="D142" s="140" t="s">
        <v>522</v>
      </c>
      <c r="E142" s="140"/>
      <c r="F142" s="139" t="s">
        <v>179</v>
      </c>
      <c r="G142" s="141" t="n">
        <v>1.725</v>
      </c>
      <c r="H142" s="142"/>
      <c r="I142" s="142" t="n">
        <f aca="false">ROUND(G142*AO142,2)</f>
        <v>0</v>
      </c>
      <c r="J142" s="142" t="n">
        <f aca="false">ROUND(G142*AP142,2)</f>
        <v>0</v>
      </c>
      <c r="K142" s="142" t="n">
        <f aca="false">ROUND(G142*H142,2)</f>
        <v>0</v>
      </c>
      <c r="L142" s="142" t="n">
        <v>1</v>
      </c>
      <c r="M142" s="142" t="n">
        <f aca="false">G142*L142</f>
        <v>1.725</v>
      </c>
      <c r="N142" s="143" t="s">
        <v>155</v>
      </c>
      <c r="Z142" s="88" t="n">
        <f aca="false">ROUND(IF(AQ142="5",BJ142,0),2)</f>
        <v>0</v>
      </c>
      <c r="AB142" s="88" t="n">
        <f aca="false">ROUND(IF(AQ142="1",BH142,0),2)</f>
        <v>0</v>
      </c>
      <c r="AC142" s="88" t="n">
        <f aca="false">ROUND(IF(AQ142="1",BI142,0),2)</f>
        <v>0</v>
      </c>
      <c r="AD142" s="88" t="n">
        <f aca="false">ROUND(IF(AQ142="7",BH142,0),2)</f>
        <v>0</v>
      </c>
      <c r="AE142" s="88" t="n">
        <f aca="false">ROUND(IF(AQ142="7",BI142,0),2)</f>
        <v>0</v>
      </c>
      <c r="AF142" s="88" t="n">
        <f aca="false">ROUND(IF(AQ142="2",BH142,0),2)</f>
        <v>0</v>
      </c>
      <c r="AG142" s="88" t="n">
        <f aca="false">ROUND(IF(AQ142="2",BI142,0),2)</f>
        <v>0</v>
      </c>
      <c r="AH142" s="88" t="n">
        <f aca="false">ROUND(IF(AQ142="0",BJ142,0),2)</f>
        <v>0</v>
      </c>
      <c r="AI142" s="116" t="s">
        <v>109</v>
      </c>
      <c r="AJ142" s="144" t="n">
        <f aca="false">IF(AN142=0,K142,0)</f>
        <v>0</v>
      </c>
      <c r="AK142" s="144" t="n">
        <f aca="false">IF(AN142=12,K142,0)</f>
        <v>0</v>
      </c>
      <c r="AL142" s="144" t="n">
        <f aca="false">IF(AN142=21,K142,0)</f>
        <v>0</v>
      </c>
      <c r="AN142" s="88" t="n">
        <v>21</v>
      </c>
      <c r="AO142" s="88" t="n">
        <f aca="false">H142*1</f>
        <v>0</v>
      </c>
      <c r="AP142" s="88" t="n">
        <f aca="false">H142*(1-1)</f>
        <v>0</v>
      </c>
      <c r="AQ142" s="145" t="s">
        <v>151</v>
      </c>
      <c r="AV142" s="88" t="n">
        <f aca="false">ROUND(AW142+AX142,2)</f>
        <v>0</v>
      </c>
      <c r="AW142" s="88" t="n">
        <f aca="false">ROUND(G142*AO142,2)</f>
        <v>0</v>
      </c>
      <c r="AX142" s="88" t="n">
        <f aca="false">ROUND(G142*AP142,2)</f>
        <v>0</v>
      </c>
      <c r="AY142" s="87" t="s">
        <v>389</v>
      </c>
      <c r="AZ142" s="87" t="s">
        <v>367</v>
      </c>
      <c r="BA142" s="116" t="s">
        <v>368</v>
      </c>
      <c r="BC142" s="88" t="n">
        <f aca="false">AW142+AX142</f>
        <v>0</v>
      </c>
      <c r="BD142" s="88" t="n">
        <f aca="false">H142/(100-BE142)*100</f>
        <v>0</v>
      </c>
      <c r="BE142" s="88" t="n">
        <v>0</v>
      </c>
      <c r="BF142" s="88" t="n">
        <f aca="false">M142</f>
        <v>1.725</v>
      </c>
      <c r="BH142" s="144" t="n">
        <f aca="false">G142*AO142</f>
        <v>0</v>
      </c>
      <c r="BI142" s="144" t="n">
        <f aca="false">G142*AP142</f>
        <v>0</v>
      </c>
      <c r="BJ142" s="144" t="n">
        <f aca="false">G142*H142</f>
        <v>0</v>
      </c>
      <c r="BK142" s="145" t="s">
        <v>180</v>
      </c>
      <c r="BL142" s="88" t="n">
        <v>18</v>
      </c>
      <c r="BW142" s="88" t="n">
        <v>21</v>
      </c>
      <c r="BX142" s="146" t="s">
        <v>522</v>
      </c>
    </row>
    <row r="143" customFormat="false" ht="15" hidden="false" customHeight="true" outlineLevel="0" collapsed="false">
      <c r="A143" s="134" t="s">
        <v>523</v>
      </c>
      <c r="B143" s="134" t="s">
        <v>109</v>
      </c>
      <c r="C143" s="134" t="s">
        <v>524</v>
      </c>
      <c r="D143" s="135" t="s">
        <v>525</v>
      </c>
      <c r="E143" s="135"/>
      <c r="F143" s="134" t="s">
        <v>179</v>
      </c>
      <c r="G143" s="136" t="n">
        <v>6.919</v>
      </c>
      <c r="H143" s="137"/>
      <c r="I143" s="137" t="n">
        <f aca="false">ROUND(G143*AO143,2)</f>
        <v>0</v>
      </c>
      <c r="J143" s="137" t="n">
        <f aca="false">ROUND(G143*AP143,2)</f>
        <v>0</v>
      </c>
      <c r="K143" s="137" t="n">
        <f aca="false">ROUND(G143*H143,2)</f>
        <v>0</v>
      </c>
      <c r="L143" s="137" t="n">
        <v>0</v>
      </c>
      <c r="M143" s="137" t="n">
        <f aca="false">G143*L143</f>
        <v>0</v>
      </c>
      <c r="N143" s="138" t="s">
        <v>155</v>
      </c>
      <c r="Z143" s="88" t="n">
        <f aca="false">ROUND(IF(AQ143="5",BJ143,0),2)</f>
        <v>0</v>
      </c>
      <c r="AB143" s="88" t="n">
        <f aca="false">ROUND(IF(AQ143="1",BH143,0),2)</f>
        <v>0</v>
      </c>
      <c r="AC143" s="88" t="n">
        <f aca="false">ROUND(IF(AQ143="1",BI143,0),2)</f>
        <v>0</v>
      </c>
      <c r="AD143" s="88" t="n">
        <f aca="false">ROUND(IF(AQ143="7",BH143,0),2)</f>
        <v>0</v>
      </c>
      <c r="AE143" s="88" t="n">
        <f aca="false">ROUND(IF(AQ143="7",BI143,0),2)</f>
        <v>0</v>
      </c>
      <c r="AF143" s="88" t="n">
        <f aca="false">ROUND(IF(AQ143="2",BH143,0),2)</f>
        <v>0</v>
      </c>
      <c r="AG143" s="88" t="n">
        <f aca="false">ROUND(IF(AQ143="2",BI143,0),2)</f>
        <v>0</v>
      </c>
      <c r="AH143" s="88" t="n">
        <f aca="false">ROUND(IF(AQ143="0",BJ143,0),2)</f>
        <v>0</v>
      </c>
      <c r="AI143" s="116" t="s">
        <v>109</v>
      </c>
      <c r="AJ143" s="88" t="n">
        <f aca="false">IF(AN143=0,K143,0)</f>
        <v>0</v>
      </c>
      <c r="AK143" s="88" t="n">
        <f aca="false">IF(AN143=12,K143,0)</f>
        <v>0</v>
      </c>
      <c r="AL143" s="88" t="n">
        <f aca="false">IF(AN143=21,K143,0)</f>
        <v>0</v>
      </c>
      <c r="AN143" s="88" t="n">
        <v>21</v>
      </c>
      <c r="AO143" s="88" t="n">
        <f aca="false">H143*0</f>
        <v>0</v>
      </c>
      <c r="AP143" s="88" t="n">
        <f aca="false">H143*(1-0)</f>
        <v>0</v>
      </c>
      <c r="AQ143" s="87" t="s">
        <v>170</v>
      </c>
      <c r="AV143" s="88" t="n">
        <f aca="false">ROUND(AW143+AX143,2)</f>
        <v>0</v>
      </c>
      <c r="AW143" s="88" t="n">
        <f aca="false">ROUND(G143*AO143,2)</f>
        <v>0</v>
      </c>
      <c r="AX143" s="88" t="n">
        <f aca="false">ROUND(G143*AP143,2)</f>
        <v>0</v>
      </c>
      <c r="AY143" s="87" t="s">
        <v>389</v>
      </c>
      <c r="AZ143" s="87" t="s">
        <v>367</v>
      </c>
      <c r="BA143" s="116" t="s">
        <v>368</v>
      </c>
      <c r="BC143" s="88" t="n">
        <f aca="false">AW143+AX143</f>
        <v>0</v>
      </c>
      <c r="BD143" s="88" t="n">
        <f aca="false">H143/(100-BE143)*100</f>
        <v>0</v>
      </c>
      <c r="BE143" s="88" t="n">
        <v>0</v>
      </c>
      <c r="BF143" s="88" t="n">
        <f aca="false">M143</f>
        <v>0</v>
      </c>
      <c r="BH143" s="88" t="n">
        <f aca="false">G143*AO143</f>
        <v>0</v>
      </c>
      <c r="BI143" s="88" t="n">
        <f aca="false">G143*AP143</f>
        <v>0</v>
      </c>
      <c r="BJ143" s="88" t="n">
        <f aca="false">G143*H143</f>
        <v>0</v>
      </c>
      <c r="BK143" s="87" t="s">
        <v>159</v>
      </c>
      <c r="BL143" s="88" t="n">
        <v>18</v>
      </c>
      <c r="BW143" s="88" t="n">
        <v>21</v>
      </c>
      <c r="BX143" s="9" t="s">
        <v>525</v>
      </c>
    </row>
    <row r="144" customFormat="false" ht="15" hidden="false" customHeight="true" outlineLevel="0" collapsed="false">
      <c r="A144" s="128"/>
      <c r="B144" s="129" t="s">
        <v>109</v>
      </c>
      <c r="C144" s="129" t="s">
        <v>526</v>
      </c>
      <c r="D144" s="130" t="s">
        <v>527</v>
      </c>
      <c r="E144" s="130"/>
      <c r="F144" s="128" t="s">
        <v>97</v>
      </c>
      <c r="G144" s="131" t="s">
        <v>97</v>
      </c>
      <c r="H144" s="128"/>
      <c r="I144" s="132" t="n">
        <f aca="false">ROUND(SUM(I145:I151),2)</f>
        <v>0</v>
      </c>
      <c r="J144" s="132" t="n">
        <f aca="false">ROUND(SUM(J145:J151),2)</f>
        <v>0</v>
      </c>
      <c r="K144" s="132" t="n">
        <f aca="false">ROUND(SUM(K145:K151),2)</f>
        <v>0</v>
      </c>
      <c r="L144" s="133"/>
      <c r="M144" s="132" t="n">
        <f aca="false">SUM(M145:M151)</f>
        <v>0</v>
      </c>
      <c r="N144" s="133"/>
      <c r="AI144" s="116" t="s">
        <v>109</v>
      </c>
      <c r="AS144" s="107" t="n">
        <f aca="false">SUM(AJ145:AJ151)</f>
        <v>0</v>
      </c>
      <c r="AT144" s="107" t="n">
        <f aca="false">SUM(AK145:AK151)</f>
        <v>0</v>
      </c>
      <c r="AU144" s="107" t="n">
        <f aca="false">SUM(AL145:AL151)</f>
        <v>0</v>
      </c>
    </row>
    <row r="145" customFormat="false" ht="15" hidden="false" customHeight="true" outlineLevel="0" collapsed="false">
      <c r="A145" s="134" t="s">
        <v>528</v>
      </c>
      <c r="B145" s="134" t="s">
        <v>109</v>
      </c>
      <c r="C145" s="134" t="s">
        <v>410</v>
      </c>
      <c r="D145" s="135" t="s">
        <v>529</v>
      </c>
      <c r="E145" s="135"/>
      <c r="F145" s="134" t="s">
        <v>189</v>
      </c>
      <c r="G145" s="136" t="n">
        <v>3.37</v>
      </c>
      <c r="H145" s="137"/>
      <c r="I145" s="137" t="n">
        <f aca="false">ROUND(G145*AO145,2)</f>
        <v>0</v>
      </c>
      <c r="J145" s="137" t="n">
        <f aca="false">ROUND(G145*AP145,2)</f>
        <v>0</v>
      </c>
      <c r="K145" s="137" t="n">
        <f aca="false">ROUND(G145*H145,2)</f>
        <v>0</v>
      </c>
      <c r="L145" s="137" t="n">
        <v>0</v>
      </c>
      <c r="M145" s="137" t="n">
        <f aca="false">G145*L145</f>
        <v>0</v>
      </c>
      <c r="N145" s="138" t="s">
        <v>155</v>
      </c>
      <c r="Z145" s="88" t="n">
        <f aca="false">ROUND(IF(AQ145="5",BJ145,0),2)</f>
        <v>0</v>
      </c>
      <c r="AB145" s="88" t="n">
        <f aca="false">ROUND(IF(AQ145="1",BH145,0),2)</f>
        <v>0</v>
      </c>
      <c r="AC145" s="88" t="n">
        <f aca="false">ROUND(IF(AQ145="1",BI145,0),2)</f>
        <v>0</v>
      </c>
      <c r="AD145" s="88" t="n">
        <f aca="false">ROUND(IF(AQ145="7",BH145,0),2)</f>
        <v>0</v>
      </c>
      <c r="AE145" s="88" t="n">
        <f aca="false">ROUND(IF(AQ145="7",BI145,0),2)</f>
        <v>0</v>
      </c>
      <c r="AF145" s="88" t="n">
        <f aca="false">ROUND(IF(AQ145="2",BH145,0),2)</f>
        <v>0</v>
      </c>
      <c r="AG145" s="88" t="n">
        <f aca="false">ROUND(IF(AQ145="2",BI145,0),2)</f>
        <v>0</v>
      </c>
      <c r="AH145" s="88" t="n">
        <f aca="false">ROUND(IF(AQ145="0",BJ145,0),2)</f>
        <v>0</v>
      </c>
      <c r="AI145" s="116" t="s">
        <v>109</v>
      </c>
      <c r="AJ145" s="88" t="n">
        <f aca="false">IF(AN145=0,K145,0)</f>
        <v>0</v>
      </c>
      <c r="AK145" s="88" t="n">
        <f aca="false">IF(AN145=12,K145,0)</f>
        <v>0</v>
      </c>
      <c r="AL145" s="88" t="n">
        <f aca="false">IF(AN145=21,K145,0)</f>
        <v>0</v>
      </c>
      <c r="AN145" s="88" t="n">
        <v>21</v>
      </c>
      <c r="AO145" s="88" t="n">
        <f aca="false">H145*0.292841246</f>
        <v>0</v>
      </c>
      <c r="AP145" s="88" t="n">
        <f aca="false">H145*(1-0.292841246)</f>
        <v>0</v>
      </c>
      <c r="AQ145" s="87" t="s">
        <v>151</v>
      </c>
      <c r="AV145" s="88" t="n">
        <f aca="false">ROUND(AW145+AX145,2)</f>
        <v>0</v>
      </c>
      <c r="AW145" s="88" t="n">
        <f aca="false">ROUND(G145*AO145,2)</f>
        <v>0</v>
      </c>
      <c r="AX145" s="88" t="n">
        <f aca="false">ROUND(G145*AP145,2)</f>
        <v>0</v>
      </c>
      <c r="AY145" s="87" t="s">
        <v>530</v>
      </c>
      <c r="AZ145" s="87" t="s">
        <v>367</v>
      </c>
      <c r="BA145" s="116" t="s">
        <v>368</v>
      </c>
      <c r="BC145" s="88" t="n">
        <f aca="false">AW145+AX145</f>
        <v>0</v>
      </c>
      <c r="BD145" s="88" t="n">
        <f aca="false">H145/(100-BE145)*100</f>
        <v>0</v>
      </c>
      <c r="BE145" s="88" t="n">
        <v>0</v>
      </c>
      <c r="BF145" s="88" t="n">
        <f aca="false">M145</f>
        <v>0</v>
      </c>
      <c r="BH145" s="88" t="n">
        <f aca="false">G145*AO145</f>
        <v>0</v>
      </c>
      <c r="BI145" s="88" t="n">
        <f aca="false">G145*AP145</f>
        <v>0</v>
      </c>
      <c r="BJ145" s="88" t="n">
        <f aca="false">G145*H145</f>
        <v>0</v>
      </c>
      <c r="BK145" s="87" t="s">
        <v>159</v>
      </c>
      <c r="BL145" s="88"/>
      <c r="BW145" s="88" t="n">
        <v>21</v>
      </c>
      <c r="BX145" s="9" t="s">
        <v>529</v>
      </c>
    </row>
    <row r="146" customFormat="false" ht="23.85" hidden="false" customHeight="true" outlineLevel="0" collapsed="false">
      <c r="A146" s="134" t="s">
        <v>531</v>
      </c>
      <c r="B146" s="134" t="s">
        <v>109</v>
      </c>
      <c r="C146" s="134" t="s">
        <v>410</v>
      </c>
      <c r="D146" s="135" t="s">
        <v>532</v>
      </c>
      <c r="E146" s="135"/>
      <c r="F146" s="134" t="s">
        <v>189</v>
      </c>
      <c r="G146" s="136" t="n">
        <v>3.528</v>
      </c>
      <c r="H146" s="137"/>
      <c r="I146" s="137" t="n">
        <f aca="false">ROUND(G146*AO146,2)</f>
        <v>0</v>
      </c>
      <c r="J146" s="137" t="n">
        <f aca="false">ROUND(G146*AP146,2)</f>
        <v>0</v>
      </c>
      <c r="K146" s="137" t="n">
        <f aca="false">ROUND(G146*H146,2)</f>
        <v>0</v>
      </c>
      <c r="L146" s="137" t="n">
        <v>0</v>
      </c>
      <c r="M146" s="137" t="n">
        <f aca="false">G146*L146</f>
        <v>0</v>
      </c>
      <c r="N146" s="138" t="s">
        <v>155</v>
      </c>
      <c r="Z146" s="88" t="n">
        <f aca="false">ROUND(IF(AQ146="5",BJ146,0),2)</f>
        <v>0</v>
      </c>
      <c r="AB146" s="88" t="n">
        <f aca="false">ROUND(IF(AQ146="1",BH146,0),2)</f>
        <v>0</v>
      </c>
      <c r="AC146" s="88" t="n">
        <f aca="false">ROUND(IF(AQ146="1",BI146,0),2)</f>
        <v>0</v>
      </c>
      <c r="AD146" s="88" t="n">
        <f aca="false">ROUND(IF(AQ146="7",BH146,0),2)</f>
        <v>0</v>
      </c>
      <c r="AE146" s="88" t="n">
        <f aca="false">ROUND(IF(AQ146="7",BI146,0),2)</f>
        <v>0</v>
      </c>
      <c r="AF146" s="88" t="n">
        <f aca="false">ROUND(IF(AQ146="2",BH146,0),2)</f>
        <v>0</v>
      </c>
      <c r="AG146" s="88" t="n">
        <f aca="false">ROUND(IF(AQ146="2",BI146,0),2)</f>
        <v>0</v>
      </c>
      <c r="AH146" s="88" t="n">
        <f aca="false">ROUND(IF(AQ146="0",BJ146,0),2)</f>
        <v>0</v>
      </c>
      <c r="AI146" s="116" t="s">
        <v>109</v>
      </c>
      <c r="AJ146" s="88" t="n">
        <f aca="false">IF(AN146=0,K146,0)</f>
        <v>0</v>
      </c>
      <c r="AK146" s="88" t="n">
        <f aca="false">IF(AN146=12,K146,0)</f>
        <v>0</v>
      </c>
      <c r="AL146" s="88" t="n">
        <f aca="false">IF(AN146=21,K146,0)</f>
        <v>0</v>
      </c>
      <c r="AN146" s="88" t="n">
        <v>21</v>
      </c>
      <c r="AO146" s="88" t="n">
        <f aca="false">H146*0.292837481</f>
        <v>0</v>
      </c>
      <c r="AP146" s="88" t="n">
        <f aca="false">H146*(1-0.292837481)</f>
        <v>0</v>
      </c>
      <c r="AQ146" s="87" t="s">
        <v>151</v>
      </c>
      <c r="AV146" s="88" t="n">
        <f aca="false">ROUND(AW146+AX146,2)</f>
        <v>0</v>
      </c>
      <c r="AW146" s="88" t="n">
        <f aca="false">ROUND(G146*AO146,2)</f>
        <v>0</v>
      </c>
      <c r="AX146" s="88" t="n">
        <f aca="false">ROUND(G146*AP146,2)</f>
        <v>0</v>
      </c>
      <c r="AY146" s="87" t="s">
        <v>530</v>
      </c>
      <c r="AZ146" s="87" t="s">
        <v>367</v>
      </c>
      <c r="BA146" s="116" t="s">
        <v>368</v>
      </c>
      <c r="BC146" s="88" t="n">
        <f aca="false">AW146+AX146</f>
        <v>0</v>
      </c>
      <c r="BD146" s="88" t="n">
        <f aca="false">H146/(100-BE146)*100</f>
        <v>0</v>
      </c>
      <c r="BE146" s="88" t="n">
        <v>0</v>
      </c>
      <c r="BF146" s="88" t="n">
        <f aca="false">M146</f>
        <v>0</v>
      </c>
      <c r="BH146" s="88" t="n">
        <f aca="false">G146*AO146</f>
        <v>0</v>
      </c>
      <c r="BI146" s="88" t="n">
        <f aca="false">G146*AP146</f>
        <v>0</v>
      </c>
      <c r="BJ146" s="88" t="n">
        <f aca="false">G146*H146</f>
        <v>0</v>
      </c>
      <c r="BK146" s="87" t="s">
        <v>159</v>
      </c>
      <c r="BL146" s="88"/>
      <c r="BW146" s="88" t="n">
        <v>21</v>
      </c>
      <c r="BX146" s="9" t="s">
        <v>532</v>
      </c>
    </row>
    <row r="147" customFormat="false" ht="15" hidden="false" customHeight="true" outlineLevel="0" collapsed="false">
      <c r="A147" s="134" t="s">
        <v>533</v>
      </c>
      <c r="B147" s="134" t="s">
        <v>109</v>
      </c>
      <c r="C147" s="134" t="s">
        <v>413</v>
      </c>
      <c r="D147" s="135" t="s">
        <v>534</v>
      </c>
      <c r="E147" s="135"/>
      <c r="F147" s="134" t="s">
        <v>189</v>
      </c>
      <c r="G147" s="136" t="n">
        <v>6.898</v>
      </c>
      <c r="H147" s="137"/>
      <c r="I147" s="137" t="n">
        <f aca="false">ROUND(G147*AO147,2)</f>
        <v>0</v>
      </c>
      <c r="J147" s="137" t="n">
        <f aca="false">ROUND(G147*AP147,2)</f>
        <v>0</v>
      </c>
      <c r="K147" s="137" t="n">
        <f aca="false">ROUND(G147*H147,2)</f>
        <v>0</v>
      </c>
      <c r="L147" s="137" t="n">
        <v>0</v>
      </c>
      <c r="M147" s="137" t="n">
        <f aca="false">G147*L147</f>
        <v>0</v>
      </c>
      <c r="N147" s="138" t="s">
        <v>155</v>
      </c>
      <c r="Z147" s="88" t="n">
        <f aca="false">ROUND(IF(AQ147="5",BJ147,0),2)</f>
        <v>0</v>
      </c>
      <c r="AB147" s="88" t="n">
        <f aca="false">ROUND(IF(AQ147="1",BH147,0),2)</f>
        <v>0</v>
      </c>
      <c r="AC147" s="88" t="n">
        <f aca="false">ROUND(IF(AQ147="1",BI147,0),2)</f>
        <v>0</v>
      </c>
      <c r="AD147" s="88" t="n">
        <f aca="false">ROUND(IF(AQ147="7",BH147,0),2)</f>
        <v>0</v>
      </c>
      <c r="AE147" s="88" t="n">
        <f aca="false">ROUND(IF(AQ147="7",BI147,0),2)</f>
        <v>0</v>
      </c>
      <c r="AF147" s="88" t="n">
        <f aca="false">ROUND(IF(AQ147="2",BH147,0),2)</f>
        <v>0</v>
      </c>
      <c r="AG147" s="88" t="n">
        <f aca="false">ROUND(IF(AQ147="2",BI147,0),2)</f>
        <v>0</v>
      </c>
      <c r="AH147" s="88" t="n">
        <f aca="false">ROUND(IF(AQ147="0",BJ147,0),2)</f>
        <v>0</v>
      </c>
      <c r="AI147" s="116" t="s">
        <v>109</v>
      </c>
      <c r="AJ147" s="88" t="n">
        <f aca="false">IF(AN147=0,K147,0)</f>
        <v>0</v>
      </c>
      <c r="AK147" s="88" t="n">
        <f aca="false">IF(AN147=12,K147,0)</f>
        <v>0</v>
      </c>
      <c r="AL147" s="88" t="n">
        <f aca="false">IF(AN147=21,K147,0)</f>
        <v>0</v>
      </c>
      <c r="AN147" s="88" t="n">
        <v>21</v>
      </c>
      <c r="AO147" s="88" t="n">
        <f aca="false">H147*0</f>
        <v>0</v>
      </c>
      <c r="AP147" s="88" t="n">
        <f aca="false">H147*(1-0)</f>
        <v>0</v>
      </c>
      <c r="AQ147" s="87" t="s">
        <v>151</v>
      </c>
      <c r="AV147" s="88" t="n">
        <f aca="false">ROUND(AW147+AX147,2)</f>
        <v>0</v>
      </c>
      <c r="AW147" s="88" t="n">
        <f aca="false">ROUND(G147*AO147,2)</f>
        <v>0</v>
      </c>
      <c r="AX147" s="88" t="n">
        <f aca="false">ROUND(G147*AP147,2)</f>
        <v>0</v>
      </c>
      <c r="AY147" s="87" t="s">
        <v>530</v>
      </c>
      <c r="AZ147" s="87" t="s">
        <v>367</v>
      </c>
      <c r="BA147" s="116" t="s">
        <v>368</v>
      </c>
      <c r="BC147" s="88" t="n">
        <f aca="false">AW147+AX147</f>
        <v>0</v>
      </c>
      <c r="BD147" s="88" t="n">
        <f aca="false">H147/(100-BE147)*100</f>
        <v>0</v>
      </c>
      <c r="BE147" s="88" t="n">
        <v>0</v>
      </c>
      <c r="BF147" s="88" t="n">
        <f aca="false">M147</f>
        <v>0</v>
      </c>
      <c r="BH147" s="88" t="n">
        <f aca="false">G147*AO147</f>
        <v>0</v>
      </c>
      <c r="BI147" s="88" t="n">
        <f aca="false">G147*AP147</f>
        <v>0</v>
      </c>
      <c r="BJ147" s="88" t="n">
        <f aca="false">G147*H147</f>
        <v>0</v>
      </c>
      <c r="BK147" s="87" t="s">
        <v>159</v>
      </c>
      <c r="BL147" s="88"/>
      <c r="BW147" s="88" t="n">
        <v>21</v>
      </c>
      <c r="BX147" s="9" t="s">
        <v>534</v>
      </c>
    </row>
    <row r="148" customFormat="false" ht="23.85" hidden="false" customHeight="true" outlineLevel="0" collapsed="false">
      <c r="A148" s="134" t="s">
        <v>535</v>
      </c>
      <c r="B148" s="134" t="s">
        <v>109</v>
      </c>
      <c r="C148" s="134" t="s">
        <v>536</v>
      </c>
      <c r="D148" s="135" t="s">
        <v>537</v>
      </c>
      <c r="E148" s="135"/>
      <c r="F148" s="134" t="s">
        <v>169</v>
      </c>
      <c r="G148" s="136" t="n">
        <v>67.4</v>
      </c>
      <c r="H148" s="137"/>
      <c r="I148" s="137" t="n">
        <f aca="false">ROUND(G148*AO148,2)</f>
        <v>0</v>
      </c>
      <c r="J148" s="137" t="n">
        <f aca="false">ROUND(G148*AP148,2)</f>
        <v>0</v>
      </c>
      <c r="K148" s="137" t="n">
        <f aca="false">ROUND(G148*H148,2)</f>
        <v>0</v>
      </c>
      <c r="L148" s="137" t="n">
        <v>0</v>
      </c>
      <c r="M148" s="137" t="n">
        <f aca="false">G148*L148</f>
        <v>0</v>
      </c>
      <c r="N148" s="138" t="s">
        <v>155</v>
      </c>
      <c r="Z148" s="88" t="n">
        <f aca="false">ROUND(IF(AQ148="5",BJ148,0),2)</f>
        <v>0</v>
      </c>
      <c r="AB148" s="88" t="n">
        <f aca="false">ROUND(IF(AQ148="1",BH148,0),2)</f>
        <v>0</v>
      </c>
      <c r="AC148" s="88" t="n">
        <f aca="false">ROUND(IF(AQ148="1",BI148,0),2)</f>
        <v>0</v>
      </c>
      <c r="AD148" s="88" t="n">
        <f aca="false">ROUND(IF(AQ148="7",BH148,0),2)</f>
        <v>0</v>
      </c>
      <c r="AE148" s="88" t="n">
        <f aca="false">ROUND(IF(AQ148="7",BI148,0),2)</f>
        <v>0</v>
      </c>
      <c r="AF148" s="88" t="n">
        <f aca="false">ROUND(IF(AQ148="2",BH148,0),2)</f>
        <v>0</v>
      </c>
      <c r="AG148" s="88" t="n">
        <f aca="false">ROUND(IF(AQ148="2",BI148,0),2)</f>
        <v>0</v>
      </c>
      <c r="AH148" s="88" t="n">
        <f aca="false">ROUND(IF(AQ148="0",BJ148,0),2)</f>
        <v>0</v>
      </c>
      <c r="AI148" s="116" t="s">
        <v>109</v>
      </c>
      <c r="AJ148" s="88" t="n">
        <f aca="false">IF(AN148=0,K148,0)</f>
        <v>0</v>
      </c>
      <c r="AK148" s="88" t="n">
        <f aca="false">IF(AN148=12,K148,0)</f>
        <v>0</v>
      </c>
      <c r="AL148" s="88" t="n">
        <f aca="false">IF(AN148=21,K148,0)</f>
        <v>0</v>
      </c>
      <c r="AN148" s="88" t="n">
        <v>21</v>
      </c>
      <c r="AO148" s="88" t="n">
        <f aca="false">H148*0</f>
        <v>0</v>
      </c>
      <c r="AP148" s="88" t="n">
        <f aca="false">H148*(1-0)</f>
        <v>0</v>
      </c>
      <c r="AQ148" s="87" t="s">
        <v>151</v>
      </c>
      <c r="AV148" s="88" t="n">
        <f aca="false">ROUND(AW148+AX148,2)</f>
        <v>0</v>
      </c>
      <c r="AW148" s="88" t="n">
        <f aca="false">ROUND(G148*AO148,2)</f>
        <v>0</v>
      </c>
      <c r="AX148" s="88" t="n">
        <f aca="false">ROUND(G148*AP148,2)</f>
        <v>0</v>
      </c>
      <c r="AY148" s="87" t="s">
        <v>530</v>
      </c>
      <c r="AZ148" s="87" t="s">
        <v>367</v>
      </c>
      <c r="BA148" s="116" t="s">
        <v>368</v>
      </c>
      <c r="BC148" s="88" t="n">
        <f aca="false">AW148+AX148</f>
        <v>0</v>
      </c>
      <c r="BD148" s="88" t="n">
        <f aca="false">H148/(100-BE148)*100</f>
        <v>0</v>
      </c>
      <c r="BE148" s="88" t="n">
        <v>0</v>
      </c>
      <c r="BF148" s="88" t="n">
        <f aca="false">M148</f>
        <v>0</v>
      </c>
      <c r="BH148" s="88" t="n">
        <f aca="false">G148*AO148</f>
        <v>0</v>
      </c>
      <c r="BI148" s="88" t="n">
        <f aca="false">G148*AP148</f>
        <v>0</v>
      </c>
      <c r="BJ148" s="88" t="n">
        <f aca="false">G148*H148</f>
        <v>0</v>
      </c>
      <c r="BK148" s="87" t="s">
        <v>159</v>
      </c>
      <c r="BL148" s="88"/>
      <c r="BW148" s="88" t="n">
        <v>21</v>
      </c>
      <c r="BX148" s="9" t="s">
        <v>537</v>
      </c>
    </row>
    <row r="149" customFormat="false" ht="15" hidden="false" customHeight="true" outlineLevel="0" collapsed="false">
      <c r="A149" s="134" t="s">
        <v>538</v>
      </c>
      <c r="B149" s="134" t="s">
        <v>109</v>
      </c>
      <c r="C149" s="134" t="s">
        <v>539</v>
      </c>
      <c r="D149" s="135" t="s">
        <v>540</v>
      </c>
      <c r="E149" s="135"/>
      <c r="F149" s="134" t="s">
        <v>169</v>
      </c>
      <c r="G149" s="136" t="n">
        <v>67.4</v>
      </c>
      <c r="H149" s="137"/>
      <c r="I149" s="137" t="n">
        <f aca="false">ROUND(G149*AO149,2)</f>
        <v>0</v>
      </c>
      <c r="J149" s="137" t="n">
        <f aca="false">ROUND(G149*AP149,2)</f>
        <v>0</v>
      </c>
      <c r="K149" s="137" t="n">
        <f aca="false">ROUND(G149*H149,2)</f>
        <v>0</v>
      </c>
      <c r="L149" s="137" t="n">
        <v>0</v>
      </c>
      <c r="M149" s="137" t="n">
        <f aca="false">G149*L149</f>
        <v>0</v>
      </c>
      <c r="N149" s="138" t="s">
        <v>155</v>
      </c>
      <c r="Z149" s="88" t="n">
        <f aca="false">ROUND(IF(AQ149="5",BJ149,0),2)</f>
        <v>0</v>
      </c>
      <c r="AB149" s="88" t="n">
        <f aca="false">ROUND(IF(AQ149="1",BH149,0),2)</f>
        <v>0</v>
      </c>
      <c r="AC149" s="88" t="n">
        <f aca="false">ROUND(IF(AQ149="1",BI149,0),2)</f>
        <v>0</v>
      </c>
      <c r="AD149" s="88" t="n">
        <f aca="false">ROUND(IF(AQ149="7",BH149,0),2)</f>
        <v>0</v>
      </c>
      <c r="AE149" s="88" t="n">
        <f aca="false">ROUND(IF(AQ149="7",BI149,0),2)</f>
        <v>0</v>
      </c>
      <c r="AF149" s="88" t="n">
        <f aca="false">ROUND(IF(AQ149="2",BH149,0),2)</f>
        <v>0</v>
      </c>
      <c r="AG149" s="88" t="n">
        <f aca="false">ROUND(IF(AQ149="2",BI149,0),2)</f>
        <v>0</v>
      </c>
      <c r="AH149" s="88" t="n">
        <f aca="false">ROUND(IF(AQ149="0",BJ149,0),2)</f>
        <v>0</v>
      </c>
      <c r="AI149" s="116" t="s">
        <v>109</v>
      </c>
      <c r="AJ149" s="88" t="n">
        <f aca="false">IF(AN149=0,K149,0)</f>
        <v>0</v>
      </c>
      <c r="AK149" s="88" t="n">
        <f aca="false">IF(AN149=12,K149,0)</f>
        <v>0</v>
      </c>
      <c r="AL149" s="88" t="n">
        <f aca="false">IF(AN149=21,K149,0)</f>
        <v>0</v>
      </c>
      <c r="AN149" s="88" t="n">
        <v>21</v>
      </c>
      <c r="AO149" s="88" t="n">
        <f aca="false">H149*0</f>
        <v>0</v>
      </c>
      <c r="AP149" s="88" t="n">
        <f aca="false">H149*(1-0)</f>
        <v>0</v>
      </c>
      <c r="AQ149" s="87" t="s">
        <v>151</v>
      </c>
      <c r="AV149" s="88" t="n">
        <f aca="false">ROUND(AW149+AX149,2)</f>
        <v>0</v>
      </c>
      <c r="AW149" s="88" t="n">
        <f aca="false">ROUND(G149*AO149,2)</f>
        <v>0</v>
      </c>
      <c r="AX149" s="88" t="n">
        <f aca="false">ROUND(G149*AP149,2)</f>
        <v>0</v>
      </c>
      <c r="AY149" s="87" t="s">
        <v>530</v>
      </c>
      <c r="AZ149" s="87" t="s">
        <v>367</v>
      </c>
      <c r="BA149" s="116" t="s">
        <v>368</v>
      </c>
      <c r="BC149" s="88" t="n">
        <f aca="false">AW149+AX149</f>
        <v>0</v>
      </c>
      <c r="BD149" s="88" t="n">
        <f aca="false">H149/(100-BE149)*100</f>
        <v>0</v>
      </c>
      <c r="BE149" s="88" t="n">
        <v>0</v>
      </c>
      <c r="BF149" s="88" t="n">
        <f aca="false">M149</f>
        <v>0</v>
      </c>
      <c r="BH149" s="88" t="n">
        <f aca="false">G149*AO149</f>
        <v>0</v>
      </c>
      <c r="BI149" s="88" t="n">
        <f aca="false">G149*AP149</f>
        <v>0</v>
      </c>
      <c r="BJ149" s="88" t="n">
        <f aca="false">G149*H149</f>
        <v>0</v>
      </c>
      <c r="BK149" s="87" t="s">
        <v>159</v>
      </c>
      <c r="BL149" s="88"/>
      <c r="BW149" s="88" t="n">
        <v>21</v>
      </c>
      <c r="BX149" s="9" t="s">
        <v>540</v>
      </c>
    </row>
    <row r="150" customFormat="false" ht="23.85" hidden="false" customHeight="true" outlineLevel="0" collapsed="false">
      <c r="A150" s="134" t="s">
        <v>541</v>
      </c>
      <c r="B150" s="134" t="s">
        <v>109</v>
      </c>
      <c r="C150" s="134" t="s">
        <v>542</v>
      </c>
      <c r="D150" s="135" t="s">
        <v>543</v>
      </c>
      <c r="E150" s="135"/>
      <c r="F150" s="134" t="s">
        <v>169</v>
      </c>
      <c r="G150" s="136" t="n">
        <v>67.4</v>
      </c>
      <c r="H150" s="137"/>
      <c r="I150" s="137" t="n">
        <f aca="false">ROUND(G150*AO150,2)</f>
        <v>0</v>
      </c>
      <c r="J150" s="137" t="n">
        <f aca="false">ROUND(G150*AP150,2)</f>
        <v>0</v>
      </c>
      <c r="K150" s="137" t="n">
        <f aca="false">ROUND(G150*H150,2)</f>
        <v>0</v>
      </c>
      <c r="L150" s="137" t="n">
        <v>0</v>
      </c>
      <c r="M150" s="137" t="n">
        <f aca="false">G150*L150</f>
        <v>0</v>
      </c>
      <c r="N150" s="138" t="s">
        <v>155</v>
      </c>
      <c r="Z150" s="88" t="n">
        <f aca="false">ROUND(IF(AQ150="5",BJ150,0),2)</f>
        <v>0</v>
      </c>
      <c r="AB150" s="88" t="n">
        <f aca="false">ROUND(IF(AQ150="1",BH150,0),2)</f>
        <v>0</v>
      </c>
      <c r="AC150" s="88" t="n">
        <f aca="false">ROUND(IF(AQ150="1",BI150,0),2)</f>
        <v>0</v>
      </c>
      <c r="AD150" s="88" t="n">
        <f aca="false">ROUND(IF(AQ150="7",BH150,0),2)</f>
        <v>0</v>
      </c>
      <c r="AE150" s="88" t="n">
        <f aca="false">ROUND(IF(AQ150="7",BI150,0),2)</f>
        <v>0</v>
      </c>
      <c r="AF150" s="88" t="n">
        <f aca="false">ROUND(IF(AQ150="2",BH150,0),2)</f>
        <v>0</v>
      </c>
      <c r="AG150" s="88" t="n">
        <f aca="false">ROUND(IF(AQ150="2",BI150,0),2)</f>
        <v>0</v>
      </c>
      <c r="AH150" s="88" t="n">
        <f aca="false">ROUND(IF(AQ150="0",BJ150,0),2)</f>
        <v>0</v>
      </c>
      <c r="AI150" s="116" t="s">
        <v>109</v>
      </c>
      <c r="AJ150" s="88" t="n">
        <f aca="false">IF(AN150=0,K150,0)</f>
        <v>0</v>
      </c>
      <c r="AK150" s="88" t="n">
        <f aca="false">IF(AN150=12,K150,0)</f>
        <v>0</v>
      </c>
      <c r="AL150" s="88" t="n">
        <f aca="false">IF(AN150=21,K150,0)</f>
        <v>0</v>
      </c>
      <c r="AN150" s="88" t="n">
        <v>21</v>
      </c>
      <c r="AO150" s="88" t="n">
        <f aca="false">H150*0</f>
        <v>0</v>
      </c>
      <c r="AP150" s="88" t="n">
        <f aca="false">H150*(1-0)</f>
        <v>0</v>
      </c>
      <c r="AQ150" s="87" t="s">
        <v>151</v>
      </c>
      <c r="AV150" s="88" t="n">
        <f aca="false">ROUND(AW150+AX150,2)</f>
        <v>0</v>
      </c>
      <c r="AW150" s="88" t="n">
        <f aca="false">ROUND(G150*AO150,2)</f>
        <v>0</v>
      </c>
      <c r="AX150" s="88" t="n">
        <f aca="false">ROUND(G150*AP150,2)</f>
        <v>0</v>
      </c>
      <c r="AY150" s="87" t="s">
        <v>530</v>
      </c>
      <c r="AZ150" s="87" t="s">
        <v>367</v>
      </c>
      <c r="BA150" s="116" t="s">
        <v>368</v>
      </c>
      <c r="BC150" s="88" t="n">
        <f aca="false">AW150+AX150</f>
        <v>0</v>
      </c>
      <c r="BD150" s="88" t="n">
        <f aca="false">H150/(100-BE150)*100</f>
        <v>0</v>
      </c>
      <c r="BE150" s="88" t="n">
        <v>0</v>
      </c>
      <c r="BF150" s="88" t="n">
        <f aca="false">M150</f>
        <v>0</v>
      </c>
      <c r="BH150" s="88" t="n">
        <f aca="false">G150*AO150</f>
        <v>0</v>
      </c>
      <c r="BI150" s="88" t="n">
        <f aca="false">G150*AP150</f>
        <v>0</v>
      </c>
      <c r="BJ150" s="88" t="n">
        <f aca="false">G150*H150</f>
        <v>0</v>
      </c>
      <c r="BK150" s="87" t="s">
        <v>159</v>
      </c>
      <c r="BL150" s="88"/>
      <c r="BW150" s="88" t="n">
        <v>21</v>
      </c>
      <c r="BX150" s="9" t="s">
        <v>543</v>
      </c>
    </row>
    <row r="151" customFormat="false" ht="23.85" hidden="false" customHeight="true" outlineLevel="0" collapsed="false">
      <c r="A151" s="134" t="s">
        <v>544</v>
      </c>
      <c r="B151" s="134" t="s">
        <v>109</v>
      </c>
      <c r="C151" s="134" t="s">
        <v>545</v>
      </c>
      <c r="D151" s="135" t="s">
        <v>546</v>
      </c>
      <c r="E151" s="135"/>
      <c r="F151" s="134" t="s">
        <v>547</v>
      </c>
      <c r="G151" s="136" t="n">
        <v>0.005</v>
      </c>
      <c r="H151" s="137"/>
      <c r="I151" s="137" t="n">
        <f aca="false">ROUND(G151*AO151,2)</f>
        <v>0</v>
      </c>
      <c r="J151" s="137" t="n">
        <f aca="false">ROUND(G151*AP151,2)</f>
        <v>0</v>
      </c>
      <c r="K151" s="137" t="n">
        <f aca="false">ROUND(G151*H151,2)</f>
        <v>0</v>
      </c>
      <c r="L151" s="137" t="n">
        <v>0</v>
      </c>
      <c r="M151" s="137" t="n">
        <f aca="false">G151*L151</f>
        <v>0</v>
      </c>
      <c r="N151" s="138" t="s">
        <v>155</v>
      </c>
      <c r="Z151" s="88" t="n">
        <f aca="false">ROUND(IF(AQ151="5",BJ151,0),2)</f>
        <v>0</v>
      </c>
      <c r="AB151" s="88" t="n">
        <f aca="false">ROUND(IF(AQ151="1",BH151,0),2)</f>
        <v>0</v>
      </c>
      <c r="AC151" s="88" t="n">
        <f aca="false">ROUND(IF(AQ151="1",BI151,0),2)</f>
        <v>0</v>
      </c>
      <c r="AD151" s="88" t="n">
        <f aca="false">ROUND(IF(AQ151="7",BH151,0),2)</f>
        <v>0</v>
      </c>
      <c r="AE151" s="88" t="n">
        <f aca="false">ROUND(IF(AQ151="7",BI151,0),2)</f>
        <v>0</v>
      </c>
      <c r="AF151" s="88" t="n">
        <f aca="false">ROUND(IF(AQ151="2",BH151,0),2)</f>
        <v>0</v>
      </c>
      <c r="AG151" s="88" t="n">
        <f aca="false">ROUND(IF(AQ151="2",BI151,0),2)</f>
        <v>0</v>
      </c>
      <c r="AH151" s="88" t="n">
        <f aca="false">ROUND(IF(AQ151="0",BJ151,0),2)</f>
        <v>0</v>
      </c>
      <c r="AI151" s="116" t="s">
        <v>109</v>
      </c>
      <c r="AJ151" s="88" t="n">
        <f aca="false">IF(AN151=0,K151,0)</f>
        <v>0</v>
      </c>
      <c r="AK151" s="88" t="n">
        <f aca="false">IF(AN151=12,K151,0)</f>
        <v>0</v>
      </c>
      <c r="AL151" s="88" t="n">
        <f aca="false">IF(AN151=21,K151,0)</f>
        <v>0</v>
      </c>
      <c r="AN151" s="88" t="n">
        <v>21</v>
      </c>
      <c r="AO151" s="88" t="n">
        <f aca="false">H151*0</f>
        <v>0</v>
      </c>
      <c r="AP151" s="88" t="n">
        <f aca="false">H151*(1-0)</f>
        <v>0</v>
      </c>
      <c r="AQ151" s="87" t="s">
        <v>151</v>
      </c>
      <c r="AV151" s="88" t="n">
        <f aca="false">ROUND(AW151+AX151,2)</f>
        <v>0</v>
      </c>
      <c r="AW151" s="88" t="n">
        <f aca="false">ROUND(G151*AO151,2)</f>
        <v>0</v>
      </c>
      <c r="AX151" s="88" t="n">
        <f aca="false">ROUND(G151*AP151,2)</f>
        <v>0</v>
      </c>
      <c r="AY151" s="87" t="s">
        <v>530</v>
      </c>
      <c r="AZ151" s="87" t="s">
        <v>367</v>
      </c>
      <c r="BA151" s="116" t="s">
        <v>368</v>
      </c>
      <c r="BC151" s="88" t="n">
        <f aca="false">AW151+AX151</f>
        <v>0</v>
      </c>
      <c r="BD151" s="88" t="n">
        <f aca="false">H151/(100-BE151)*100</f>
        <v>0</v>
      </c>
      <c r="BE151" s="88" t="n">
        <v>0</v>
      </c>
      <c r="BF151" s="88" t="n">
        <f aca="false">M151</f>
        <v>0</v>
      </c>
      <c r="BH151" s="88" t="n">
        <f aca="false">G151*AO151</f>
        <v>0</v>
      </c>
      <c r="BI151" s="88" t="n">
        <f aca="false">G151*AP151</f>
        <v>0</v>
      </c>
      <c r="BJ151" s="88" t="n">
        <f aca="false">G151*H151</f>
        <v>0</v>
      </c>
      <c r="BK151" s="87" t="s">
        <v>159</v>
      </c>
      <c r="BL151" s="88"/>
      <c r="BW151" s="88" t="n">
        <v>21</v>
      </c>
      <c r="BX151" s="9" t="s">
        <v>546</v>
      </c>
    </row>
    <row r="152" customFormat="false" ht="19.85" hidden="false" customHeight="true" outlineLevel="0" collapsed="false">
      <c r="A152" s="95"/>
      <c r="B152" s="157" t="s">
        <v>111</v>
      </c>
      <c r="C152" s="157"/>
      <c r="D152" s="158" t="s">
        <v>112</v>
      </c>
      <c r="E152" s="158"/>
      <c r="F152" s="95" t="s">
        <v>97</v>
      </c>
      <c r="G152" s="159" t="s">
        <v>97</v>
      </c>
      <c r="H152" s="95"/>
      <c r="I152" s="160" t="n">
        <f aca="false">ROUND(SUM(I153,I156,I160,I162,I164,I170,I174),2)</f>
        <v>0</v>
      </c>
      <c r="J152" s="160" t="n">
        <f aca="false">ROUND(SUM(J153,J156,J160,J162,J164,J170,J174),2)</f>
        <v>0</v>
      </c>
      <c r="K152" s="160" t="n">
        <f aca="false">ROUND(SUM(K153,K156,K160,K162,K164,K170,K174),2)</f>
        <v>0</v>
      </c>
      <c r="L152" s="161"/>
      <c r="M152" s="160" t="n">
        <f aca="false">SUM(M153,M156,M160,M162,M164,M170,M174)</f>
        <v>4.75596055</v>
      </c>
      <c r="N152" s="161"/>
    </row>
    <row r="153" customFormat="false" ht="15" hidden="false" customHeight="true" outlineLevel="0" collapsed="false">
      <c r="A153" s="128"/>
      <c r="B153" s="129" t="s">
        <v>111</v>
      </c>
      <c r="C153" s="129" t="s">
        <v>206</v>
      </c>
      <c r="D153" s="130" t="s">
        <v>234</v>
      </c>
      <c r="E153" s="130"/>
      <c r="F153" s="128" t="s">
        <v>97</v>
      </c>
      <c r="G153" s="131" t="s">
        <v>97</v>
      </c>
      <c r="H153" s="128"/>
      <c r="I153" s="132" t="n">
        <f aca="false">ROUND(SUM(I154:I155),2)</f>
        <v>0</v>
      </c>
      <c r="J153" s="132" t="n">
        <f aca="false">ROUND(SUM(J154:J155),2)</f>
        <v>0</v>
      </c>
      <c r="K153" s="132" t="n">
        <f aca="false">ROUND(SUM(K154:K155),2)</f>
        <v>0</v>
      </c>
      <c r="L153" s="133"/>
      <c r="M153" s="132" t="n">
        <f aca="false">SUM(M154:M155)</f>
        <v>0</v>
      </c>
      <c r="N153" s="133"/>
      <c r="AI153" s="116" t="s">
        <v>111</v>
      </c>
      <c r="AS153" s="107" t="n">
        <f aca="false">SUM(AJ154:AJ155)</f>
        <v>0</v>
      </c>
      <c r="AT153" s="107" t="n">
        <f aca="false">SUM(AK154:AK155)</f>
        <v>0</v>
      </c>
      <c r="AU153" s="107" t="n">
        <f aca="false">SUM(AL154:AL155)</f>
        <v>0</v>
      </c>
    </row>
    <row r="154" customFormat="false" ht="15" hidden="false" customHeight="true" outlineLevel="0" collapsed="false">
      <c r="A154" s="134" t="s">
        <v>548</v>
      </c>
      <c r="B154" s="134" t="s">
        <v>111</v>
      </c>
      <c r="C154" s="134" t="s">
        <v>549</v>
      </c>
      <c r="D154" s="135" t="s">
        <v>550</v>
      </c>
      <c r="E154" s="135"/>
      <c r="F154" s="134" t="s">
        <v>189</v>
      </c>
      <c r="G154" s="136" t="n">
        <v>1.318</v>
      </c>
      <c r="H154" s="137"/>
      <c r="I154" s="137" t="n">
        <f aca="false">ROUND(G154*AO154,2)</f>
        <v>0</v>
      </c>
      <c r="J154" s="137" t="n">
        <f aca="false">ROUND(G154*AP154,2)</f>
        <v>0</v>
      </c>
      <c r="K154" s="137" t="n">
        <f aca="false">ROUND(G154*H154,2)</f>
        <v>0</v>
      </c>
      <c r="L154" s="137" t="n">
        <v>0</v>
      </c>
      <c r="M154" s="137" t="n">
        <f aca="false">G154*L154</f>
        <v>0</v>
      </c>
      <c r="N154" s="138" t="s">
        <v>155</v>
      </c>
      <c r="Z154" s="88" t="n">
        <f aca="false">ROUND(IF(AQ154="5",BJ154,0),2)</f>
        <v>0</v>
      </c>
      <c r="AB154" s="88" t="n">
        <f aca="false">ROUND(IF(AQ154="1",BH154,0),2)</f>
        <v>0</v>
      </c>
      <c r="AC154" s="88" t="n">
        <f aca="false">ROUND(IF(AQ154="1",BI154,0),2)</f>
        <v>0</v>
      </c>
      <c r="AD154" s="88" t="n">
        <f aca="false">ROUND(IF(AQ154="7",BH154,0),2)</f>
        <v>0</v>
      </c>
      <c r="AE154" s="88" t="n">
        <f aca="false">ROUND(IF(AQ154="7",BI154,0),2)</f>
        <v>0</v>
      </c>
      <c r="AF154" s="88" t="n">
        <f aca="false">ROUND(IF(AQ154="2",BH154,0),2)</f>
        <v>0</v>
      </c>
      <c r="AG154" s="88" t="n">
        <f aca="false">ROUND(IF(AQ154="2",BI154,0),2)</f>
        <v>0</v>
      </c>
      <c r="AH154" s="88" t="n">
        <f aca="false">ROUND(IF(AQ154="0",BJ154,0),2)</f>
        <v>0</v>
      </c>
      <c r="AI154" s="116" t="s">
        <v>111</v>
      </c>
      <c r="AJ154" s="88" t="n">
        <f aca="false">IF(AN154=0,K154,0)</f>
        <v>0</v>
      </c>
      <c r="AK154" s="88" t="n">
        <f aca="false">IF(AN154=12,K154,0)</f>
        <v>0</v>
      </c>
      <c r="AL154" s="88" t="n">
        <f aca="false">IF(AN154=21,K154,0)</f>
        <v>0</v>
      </c>
      <c r="AN154" s="88" t="n">
        <v>21</v>
      </c>
      <c r="AO154" s="88" t="n">
        <f aca="false">H154*0</f>
        <v>0</v>
      </c>
      <c r="AP154" s="88" t="n">
        <f aca="false">H154*(1-0)</f>
        <v>0</v>
      </c>
      <c r="AQ154" s="87" t="s">
        <v>151</v>
      </c>
      <c r="AV154" s="88" t="n">
        <f aca="false">ROUND(AW154+AX154,2)</f>
        <v>0</v>
      </c>
      <c r="AW154" s="88" t="n">
        <f aca="false">ROUND(G154*AO154,2)</f>
        <v>0</v>
      </c>
      <c r="AX154" s="88" t="n">
        <f aca="false">ROUND(G154*AP154,2)</f>
        <v>0</v>
      </c>
      <c r="AY154" s="87" t="s">
        <v>238</v>
      </c>
      <c r="AZ154" s="87" t="s">
        <v>551</v>
      </c>
      <c r="BA154" s="116" t="s">
        <v>552</v>
      </c>
      <c r="BC154" s="88" t="n">
        <f aca="false">AW154+AX154</f>
        <v>0</v>
      </c>
      <c r="BD154" s="88" t="n">
        <f aca="false">H154/(100-BE154)*100</f>
        <v>0</v>
      </c>
      <c r="BE154" s="88" t="n">
        <v>0</v>
      </c>
      <c r="BF154" s="88" t="n">
        <f aca="false">M154</f>
        <v>0</v>
      </c>
      <c r="BH154" s="88" t="n">
        <f aca="false">G154*AO154</f>
        <v>0</v>
      </c>
      <c r="BI154" s="88" t="n">
        <f aca="false">G154*AP154</f>
        <v>0</v>
      </c>
      <c r="BJ154" s="88" t="n">
        <f aca="false">G154*H154</f>
        <v>0</v>
      </c>
      <c r="BK154" s="87" t="s">
        <v>159</v>
      </c>
      <c r="BL154" s="88" t="n">
        <v>13</v>
      </c>
      <c r="BW154" s="88" t="n">
        <v>21</v>
      </c>
      <c r="BX154" s="9" t="s">
        <v>550</v>
      </c>
    </row>
    <row r="155" customFormat="false" ht="15" hidden="false" customHeight="true" outlineLevel="0" collapsed="false">
      <c r="A155" s="134" t="s">
        <v>553</v>
      </c>
      <c r="B155" s="134" t="s">
        <v>111</v>
      </c>
      <c r="C155" s="134" t="s">
        <v>554</v>
      </c>
      <c r="D155" s="135" t="s">
        <v>555</v>
      </c>
      <c r="E155" s="135"/>
      <c r="F155" s="134" t="s">
        <v>189</v>
      </c>
      <c r="G155" s="136" t="n">
        <v>1.318</v>
      </c>
      <c r="H155" s="137"/>
      <c r="I155" s="137" t="n">
        <f aca="false">ROUND(G155*AO155,2)</f>
        <v>0</v>
      </c>
      <c r="J155" s="137" t="n">
        <f aca="false">ROUND(G155*AP155,2)</f>
        <v>0</v>
      </c>
      <c r="K155" s="137" t="n">
        <f aca="false">ROUND(G155*H155,2)</f>
        <v>0</v>
      </c>
      <c r="L155" s="137" t="n">
        <v>0</v>
      </c>
      <c r="M155" s="137" t="n">
        <f aca="false">G155*L155</f>
        <v>0</v>
      </c>
      <c r="N155" s="138" t="s">
        <v>155</v>
      </c>
      <c r="Z155" s="88" t="n">
        <f aca="false">ROUND(IF(AQ155="5",BJ155,0),2)</f>
        <v>0</v>
      </c>
      <c r="AB155" s="88" t="n">
        <f aca="false">ROUND(IF(AQ155="1",BH155,0),2)</f>
        <v>0</v>
      </c>
      <c r="AC155" s="88" t="n">
        <f aca="false">ROUND(IF(AQ155="1",BI155,0),2)</f>
        <v>0</v>
      </c>
      <c r="AD155" s="88" t="n">
        <f aca="false">ROUND(IF(AQ155="7",BH155,0),2)</f>
        <v>0</v>
      </c>
      <c r="AE155" s="88" t="n">
        <f aca="false">ROUND(IF(AQ155="7",BI155,0),2)</f>
        <v>0</v>
      </c>
      <c r="AF155" s="88" t="n">
        <f aca="false">ROUND(IF(AQ155="2",BH155,0),2)</f>
        <v>0</v>
      </c>
      <c r="AG155" s="88" t="n">
        <f aca="false">ROUND(IF(AQ155="2",BI155,0),2)</f>
        <v>0</v>
      </c>
      <c r="AH155" s="88" t="n">
        <f aca="false">ROUND(IF(AQ155="0",BJ155,0),2)</f>
        <v>0</v>
      </c>
      <c r="AI155" s="116" t="s">
        <v>111</v>
      </c>
      <c r="AJ155" s="88" t="n">
        <f aca="false">IF(AN155=0,K155,0)</f>
        <v>0</v>
      </c>
      <c r="AK155" s="88" t="n">
        <f aca="false">IF(AN155=12,K155,0)</f>
        <v>0</v>
      </c>
      <c r="AL155" s="88" t="n">
        <f aca="false">IF(AN155=21,K155,0)</f>
        <v>0</v>
      </c>
      <c r="AN155" s="88" t="n">
        <v>21</v>
      </c>
      <c r="AO155" s="88" t="n">
        <f aca="false">H155*0</f>
        <v>0</v>
      </c>
      <c r="AP155" s="88" t="n">
        <f aca="false">H155*(1-0)</f>
        <v>0</v>
      </c>
      <c r="AQ155" s="87" t="s">
        <v>151</v>
      </c>
      <c r="AV155" s="88" t="n">
        <f aca="false">ROUND(AW155+AX155,2)</f>
        <v>0</v>
      </c>
      <c r="AW155" s="88" t="n">
        <f aca="false">ROUND(G155*AO155,2)</f>
        <v>0</v>
      </c>
      <c r="AX155" s="88" t="n">
        <f aca="false">ROUND(G155*AP155,2)</f>
        <v>0</v>
      </c>
      <c r="AY155" s="87" t="s">
        <v>238</v>
      </c>
      <c r="AZ155" s="87" t="s">
        <v>551</v>
      </c>
      <c r="BA155" s="116" t="s">
        <v>552</v>
      </c>
      <c r="BC155" s="88" t="n">
        <f aca="false">AW155+AX155</f>
        <v>0</v>
      </c>
      <c r="BD155" s="88" t="n">
        <f aca="false">H155/(100-BE155)*100</f>
        <v>0</v>
      </c>
      <c r="BE155" s="88" t="n">
        <v>0</v>
      </c>
      <c r="BF155" s="88" t="n">
        <f aca="false">M155</f>
        <v>0</v>
      </c>
      <c r="BH155" s="88" t="n">
        <f aca="false">G155*AO155</f>
        <v>0</v>
      </c>
      <c r="BI155" s="88" t="n">
        <f aca="false">G155*AP155</f>
        <v>0</v>
      </c>
      <c r="BJ155" s="88" t="n">
        <f aca="false">G155*H155</f>
        <v>0</v>
      </c>
      <c r="BK155" s="87" t="s">
        <v>159</v>
      </c>
      <c r="BL155" s="88" t="n">
        <v>13</v>
      </c>
      <c r="BW155" s="88" t="n">
        <v>21</v>
      </c>
      <c r="BX155" s="9" t="s">
        <v>555</v>
      </c>
    </row>
    <row r="156" customFormat="false" ht="15" hidden="false" customHeight="true" outlineLevel="0" collapsed="false">
      <c r="A156" s="128"/>
      <c r="B156" s="129" t="s">
        <v>111</v>
      </c>
      <c r="C156" s="129" t="s">
        <v>216</v>
      </c>
      <c r="D156" s="130" t="s">
        <v>556</v>
      </c>
      <c r="E156" s="130"/>
      <c r="F156" s="128" t="s">
        <v>97</v>
      </c>
      <c r="G156" s="131" t="s">
        <v>97</v>
      </c>
      <c r="H156" s="128"/>
      <c r="I156" s="132" t="n">
        <f aca="false">ROUND(SUM(I157:I159),2)</f>
        <v>0</v>
      </c>
      <c r="J156" s="132" t="n">
        <f aca="false">ROUND(SUM(J157:J159),2)</f>
        <v>0</v>
      </c>
      <c r="K156" s="132" t="n">
        <f aca="false">ROUND(SUM(K157:K159),2)</f>
        <v>0</v>
      </c>
      <c r="L156" s="133"/>
      <c r="M156" s="132" t="n">
        <f aca="false">SUM(M157:M159)</f>
        <v>0</v>
      </c>
      <c r="N156" s="133"/>
      <c r="AI156" s="116" t="s">
        <v>111</v>
      </c>
      <c r="AS156" s="107" t="n">
        <f aca="false">SUM(AJ157:AJ159)</f>
        <v>0</v>
      </c>
      <c r="AT156" s="107" t="n">
        <f aca="false">SUM(AK157:AK159)</f>
        <v>0</v>
      </c>
      <c r="AU156" s="107" t="n">
        <f aca="false">SUM(AL157:AL159)</f>
        <v>0</v>
      </c>
    </row>
    <row r="157" customFormat="false" ht="15" hidden="false" customHeight="true" outlineLevel="0" collapsed="false">
      <c r="A157" s="134" t="s">
        <v>557</v>
      </c>
      <c r="B157" s="134" t="s">
        <v>111</v>
      </c>
      <c r="C157" s="134" t="s">
        <v>263</v>
      </c>
      <c r="D157" s="135" t="s">
        <v>558</v>
      </c>
      <c r="E157" s="135"/>
      <c r="F157" s="134" t="s">
        <v>189</v>
      </c>
      <c r="G157" s="136" t="n">
        <v>1.318</v>
      </c>
      <c r="H157" s="137"/>
      <c r="I157" s="137" t="n">
        <f aca="false">ROUND(G157*AO157,2)</f>
        <v>0</v>
      </c>
      <c r="J157" s="137" t="n">
        <f aca="false">ROUND(G157*AP157,2)</f>
        <v>0</v>
      </c>
      <c r="K157" s="137" t="n">
        <f aca="false">ROUND(G157*H157,2)</f>
        <v>0</v>
      </c>
      <c r="L157" s="137" t="n">
        <v>0</v>
      </c>
      <c r="M157" s="137" t="n">
        <f aca="false">G157*L157</f>
        <v>0</v>
      </c>
      <c r="N157" s="138" t="s">
        <v>155</v>
      </c>
      <c r="Z157" s="88" t="n">
        <f aca="false">ROUND(IF(AQ157="5",BJ157,0),2)</f>
        <v>0</v>
      </c>
      <c r="AB157" s="88" t="n">
        <f aca="false">ROUND(IF(AQ157="1",BH157,0),2)</f>
        <v>0</v>
      </c>
      <c r="AC157" s="88" t="n">
        <f aca="false">ROUND(IF(AQ157="1",BI157,0),2)</f>
        <v>0</v>
      </c>
      <c r="AD157" s="88" t="n">
        <f aca="false">ROUND(IF(AQ157="7",BH157,0),2)</f>
        <v>0</v>
      </c>
      <c r="AE157" s="88" t="n">
        <f aca="false">ROUND(IF(AQ157="7",BI157,0),2)</f>
        <v>0</v>
      </c>
      <c r="AF157" s="88" t="n">
        <f aca="false">ROUND(IF(AQ157="2",BH157,0),2)</f>
        <v>0</v>
      </c>
      <c r="AG157" s="88" t="n">
        <f aca="false">ROUND(IF(AQ157="2",BI157,0),2)</f>
        <v>0</v>
      </c>
      <c r="AH157" s="88" t="n">
        <f aca="false">ROUND(IF(AQ157="0",BJ157,0),2)</f>
        <v>0</v>
      </c>
      <c r="AI157" s="116" t="s">
        <v>111</v>
      </c>
      <c r="AJ157" s="88" t="n">
        <f aca="false">IF(AN157=0,K157,0)</f>
        <v>0</v>
      </c>
      <c r="AK157" s="88" t="n">
        <f aca="false">IF(AN157=12,K157,0)</f>
        <v>0</v>
      </c>
      <c r="AL157" s="88" t="n">
        <f aca="false">IF(AN157=21,K157,0)</f>
        <v>0</v>
      </c>
      <c r="AN157" s="88" t="n">
        <v>21</v>
      </c>
      <c r="AO157" s="88" t="n">
        <f aca="false">H157*0</f>
        <v>0</v>
      </c>
      <c r="AP157" s="88" t="n">
        <f aca="false">H157*(1-0)</f>
        <v>0</v>
      </c>
      <c r="AQ157" s="87" t="s">
        <v>151</v>
      </c>
      <c r="AV157" s="88" t="n">
        <f aca="false">ROUND(AW157+AX157,2)</f>
        <v>0</v>
      </c>
      <c r="AW157" s="88" t="n">
        <f aca="false">ROUND(G157*AO157,2)</f>
        <v>0</v>
      </c>
      <c r="AX157" s="88" t="n">
        <f aca="false">ROUND(G157*AP157,2)</f>
        <v>0</v>
      </c>
      <c r="AY157" s="87" t="s">
        <v>559</v>
      </c>
      <c r="AZ157" s="87" t="s">
        <v>551</v>
      </c>
      <c r="BA157" s="116" t="s">
        <v>552</v>
      </c>
      <c r="BC157" s="88" t="n">
        <f aca="false">AW157+AX157</f>
        <v>0</v>
      </c>
      <c r="BD157" s="88" t="n">
        <f aca="false">H157/(100-BE157)*100</f>
        <v>0</v>
      </c>
      <c r="BE157" s="88" t="n">
        <v>0</v>
      </c>
      <c r="BF157" s="88" t="n">
        <f aca="false">M157</f>
        <v>0</v>
      </c>
      <c r="BH157" s="88" t="n">
        <f aca="false">G157*AO157</f>
        <v>0</v>
      </c>
      <c r="BI157" s="88" t="n">
        <f aca="false">G157*AP157</f>
        <v>0</v>
      </c>
      <c r="BJ157" s="88" t="n">
        <f aca="false">G157*H157</f>
        <v>0</v>
      </c>
      <c r="BK157" s="87" t="s">
        <v>159</v>
      </c>
      <c r="BL157" s="88" t="n">
        <v>16</v>
      </c>
      <c r="BW157" s="88" t="n">
        <v>21</v>
      </c>
      <c r="BX157" s="9" t="s">
        <v>558</v>
      </c>
    </row>
    <row r="158" customFormat="false" ht="15" hidden="false" customHeight="true" outlineLevel="0" collapsed="false">
      <c r="A158" s="134" t="s">
        <v>560</v>
      </c>
      <c r="B158" s="134" t="s">
        <v>111</v>
      </c>
      <c r="C158" s="134" t="s">
        <v>266</v>
      </c>
      <c r="D158" s="135" t="s">
        <v>267</v>
      </c>
      <c r="E158" s="135"/>
      <c r="F158" s="134" t="s">
        <v>189</v>
      </c>
      <c r="G158" s="136" t="n">
        <v>19.77</v>
      </c>
      <c r="H158" s="137"/>
      <c r="I158" s="137" t="n">
        <f aca="false">ROUND(G158*AO158,2)</f>
        <v>0</v>
      </c>
      <c r="J158" s="137" t="n">
        <f aca="false">ROUND(G158*AP158,2)</f>
        <v>0</v>
      </c>
      <c r="K158" s="137" t="n">
        <f aca="false">ROUND(G158*H158,2)</f>
        <v>0</v>
      </c>
      <c r="L158" s="137" t="n">
        <v>0</v>
      </c>
      <c r="M158" s="137" t="n">
        <f aca="false">G158*L158</f>
        <v>0</v>
      </c>
      <c r="N158" s="138" t="s">
        <v>155</v>
      </c>
      <c r="Z158" s="88" t="n">
        <f aca="false">ROUND(IF(AQ158="5",BJ158,0),2)</f>
        <v>0</v>
      </c>
      <c r="AB158" s="88" t="n">
        <f aca="false">ROUND(IF(AQ158="1",BH158,0),2)</f>
        <v>0</v>
      </c>
      <c r="AC158" s="88" t="n">
        <f aca="false">ROUND(IF(AQ158="1",BI158,0),2)</f>
        <v>0</v>
      </c>
      <c r="AD158" s="88" t="n">
        <f aca="false">ROUND(IF(AQ158="7",BH158,0),2)</f>
        <v>0</v>
      </c>
      <c r="AE158" s="88" t="n">
        <f aca="false">ROUND(IF(AQ158="7",BI158,0),2)</f>
        <v>0</v>
      </c>
      <c r="AF158" s="88" t="n">
        <f aca="false">ROUND(IF(AQ158="2",BH158,0),2)</f>
        <v>0</v>
      </c>
      <c r="AG158" s="88" t="n">
        <f aca="false">ROUND(IF(AQ158="2",BI158,0),2)</f>
        <v>0</v>
      </c>
      <c r="AH158" s="88" t="n">
        <f aca="false">ROUND(IF(AQ158="0",BJ158,0),2)</f>
        <v>0</v>
      </c>
      <c r="AI158" s="116" t="s">
        <v>111</v>
      </c>
      <c r="AJ158" s="88" t="n">
        <f aca="false">IF(AN158=0,K158,0)</f>
        <v>0</v>
      </c>
      <c r="AK158" s="88" t="n">
        <f aca="false">IF(AN158=12,K158,0)</f>
        <v>0</v>
      </c>
      <c r="AL158" s="88" t="n">
        <f aca="false">IF(AN158=21,K158,0)</f>
        <v>0</v>
      </c>
      <c r="AN158" s="88" t="n">
        <v>21</v>
      </c>
      <c r="AO158" s="88" t="n">
        <f aca="false">H158*0</f>
        <v>0</v>
      </c>
      <c r="AP158" s="88" t="n">
        <f aca="false">H158*(1-0)</f>
        <v>0</v>
      </c>
      <c r="AQ158" s="87" t="s">
        <v>151</v>
      </c>
      <c r="AV158" s="88" t="n">
        <f aca="false">ROUND(AW158+AX158,2)</f>
        <v>0</v>
      </c>
      <c r="AW158" s="88" t="n">
        <f aca="false">ROUND(G158*AO158,2)</f>
        <v>0</v>
      </c>
      <c r="AX158" s="88" t="n">
        <f aca="false">ROUND(G158*AP158,2)</f>
        <v>0</v>
      </c>
      <c r="AY158" s="87" t="s">
        <v>559</v>
      </c>
      <c r="AZ158" s="87" t="s">
        <v>551</v>
      </c>
      <c r="BA158" s="116" t="s">
        <v>552</v>
      </c>
      <c r="BC158" s="88" t="n">
        <f aca="false">AW158+AX158</f>
        <v>0</v>
      </c>
      <c r="BD158" s="88" t="n">
        <f aca="false">H158/(100-BE158)*100</f>
        <v>0</v>
      </c>
      <c r="BE158" s="88" t="n">
        <v>0</v>
      </c>
      <c r="BF158" s="88" t="n">
        <f aca="false">M158</f>
        <v>0</v>
      </c>
      <c r="BH158" s="88" t="n">
        <f aca="false">G158*AO158</f>
        <v>0</v>
      </c>
      <c r="BI158" s="88" t="n">
        <f aca="false">G158*AP158</f>
        <v>0</v>
      </c>
      <c r="BJ158" s="88" t="n">
        <f aca="false">G158*H158</f>
        <v>0</v>
      </c>
      <c r="BK158" s="87" t="s">
        <v>159</v>
      </c>
      <c r="BL158" s="88" t="n">
        <v>16</v>
      </c>
      <c r="BW158" s="88" t="n">
        <v>21</v>
      </c>
      <c r="BX158" s="9" t="s">
        <v>267</v>
      </c>
    </row>
    <row r="159" customFormat="false" ht="15" hidden="false" customHeight="true" outlineLevel="0" collapsed="false">
      <c r="A159" s="134" t="s">
        <v>561</v>
      </c>
      <c r="B159" s="134" t="s">
        <v>111</v>
      </c>
      <c r="C159" s="134" t="s">
        <v>272</v>
      </c>
      <c r="D159" s="135" t="s">
        <v>562</v>
      </c>
      <c r="E159" s="135"/>
      <c r="F159" s="134" t="s">
        <v>189</v>
      </c>
      <c r="G159" s="136" t="n">
        <v>1.318</v>
      </c>
      <c r="H159" s="137"/>
      <c r="I159" s="137" t="n">
        <f aca="false">ROUND(G159*AO159,2)</f>
        <v>0</v>
      </c>
      <c r="J159" s="137" t="n">
        <f aca="false">ROUND(G159*AP159,2)</f>
        <v>0</v>
      </c>
      <c r="K159" s="137" t="n">
        <f aca="false">ROUND(G159*H159,2)</f>
        <v>0</v>
      </c>
      <c r="L159" s="137" t="n">
        <v>0</v>
      </c>
      <c r="M159" s="137" t="n">
        <f aca="false">G159*L159</f>
        <v>0</v>
      </c>
      <c r="N159" s="138" t="s">
        <v>155</v>
      </c>
      <c r="Z159" s="88" t="n">
        <f aca="false">ROUND(IF(AQ159="5",BJ159,0),2)</f>
        <v>0</v>
      </c>
      <c r="AB159" s="88" t="n">
        <f aca="false">ROUND(IF(AQ159="1",BH159,0),2)</f>
        <v>0</v>
      </c>
      <c r="AC159" s="88" t="n">
        <f aca="false">ROUND(IF(AQ159="1",BI159,0),2)</f>
        <v>0</v>
      </c>
      <c r="AD159" s="88" t="n">
        <f aca="false">ROUND(IF(AQ159="7",BH159,0),2)</f>
        <v>0</v>
      </c>
      <c r="AE159" s="88" t="n">
        <f aca="false">ROUND(IF(AQ159="7",BI159,0),2)</f>
        <v>0</v>
      </c>
      <c r="AF159" s="88" t="n">
        <f aca="false">ROUND(IF(AQ159="2",BH159,0),2)</f>
        <v>0</v>
      </c>
      <c r="AG159" s="88" t="n">
        <f aca="false">ROUND(IF(AQ159="2",BI159,0),2)</f>
        <v>0</v>
      </c>
      <c r="AH159" s="88" t="n">
        <f aca="false">ROUND(IF(AQ159="0",BJ159,0),2)</f>
        <v>0</v>
      </c>
      <c r="AI159" s="116" t="s">
        <v>111</v>
      </c>
      <c r="AJ159" s="88" t="n">
        <f aca="false">IF(AN159=0,K159,0)</f>
        <v>0</v>
      </c>
      <c r="AK159" s="88" t="n">
        <f aca="false">IF(AN159=12,K159,0)</f>
        <v>0</v>
      </c>
      <c r="AL159" s="88" t="n">
        <f aca="false">IF(AN159=21,K159,0)</f>
        <v>0</v>
      </c>
      <c r="AN159" s="88" t="n">
        <v>21</v>
      </c>
      <c r="AO159" s="88" t="n">
        <f aca="false">H159*0</f>
        <v>0</v>
      </c>
      <c r="AP159" s="88" t="n">
        <f aca="false">H159*(1-0)</f>
        <v>0</v>
      </c>
      <c r="AQ159" s="87" t="s">
        <v>151</v>
      </c>
      <c r="AV159" s="88" t="n">
        <f aca="false">ROUND(AW159+AX159,2)</f>
        <v>0</v>
      </c>
      <c r="AW159" s="88" t="n">
        <f aca="false">ROUND(G159*AO159,2)</f>
        <v>0</v>
      </c>
      <c r="AX159" s="88" t="n">
        <f aca="false">ROUND(G159*AP159,2)</f>
        <v>0</v>
      </c>
      <c r="AY159" s="87" t="s">
        <v>559</v>
      </c>
      <c r="AZ159" s="87" t="s">
        <v>551</v>
      </c>
      <c r="BA159" s="116" t="s">
        <v>552</v>
      </c>
      <c r="BC159" s="88" t="n">
        <f aca="false">AW159+AX159</f>
        <v>0</v>
      </c>
      <c r="BD159" s="88" t="n">
        <f aca="false">H159/(100-BE159)*100</f>
        <v>0</v>
      </c>
      <c r="BE159" s="88" t="n">
        <v>0</v>
      </c>
      <c r="BF159" s="88" t="n">
        <f aca="false">M159</f>
        <v>0</v>
      </c>
      <c r="BH159" s="88" t="n">
        <f aca="false">G159*AO159</f>
        <v>0</v>
      </c>
      <c r="BI159" s="88" t="n">
        <f aca="false">G159*AP159</f>
        <v>0</v>
      </c>
      <c r="BJ159" s="88" t="n">
        <f aca="false">G159*H159</f>
        <v>0</v>
      </c>
      <c r="BK159" s="87" t="s">
        <v>159</v>
      </c>
      <c r="BL159" s="88" t="n">
        <v>16</v>
      </c>
      <c r="BW159" s="88" t="n">
        <v>21</v>
      </c>
      <c r="BX159" s="9" t="s">
        <v>562</v>
      </c>
    </row>
    <row r="160" customFormat="false" ht="15" hidden="false" customHeight="true" outlineLevel="0" collapsed="false">
      <c r="A160" s="128"/>
      <c r="B160" s="129" t="s">
        <v>111</v>
      </c>
      <c r="C160" s="129" t="s">
        <v>231</v>
      </c>
      <c r="D160" s="130" t="s">
        <v>563</v>
      </c>
      <c r="E160" s="130"/>
      <c r="F160" s="128" t="s">
        <v>97</v>
      </c>
      <c r="G160" s="131" t="s">
        <v>97</v>
      </c>
      <c r="H160" s="128"/>
      <c r="I160" s="132" t="n">
        <f aca="false">ROUND(SUM(I161),2)</f>
        <v>0</v>
      </c>
      <c r="J160" s="132" t="n">
        <f aca="false">ROUND(SUM(J161),2)</f>
        <v>0</v>
      </c>
      <c r="K160" s="132" t="n">
        <f aca="false">ROUND(SUM(K161),2)</f>
        <v>0</v>
      </c>
      <c r="L160" s="133"/>
      <c r="M160" s="132" t="n">
        <f aca="false">SUM(M161)</f>
        <v>0.604395</v>
      </c>
      <c r="N160" s="133"/>
      <c r="AI160" s="116" t="s">
        <v>111</v>
      </c>
      <c r="AS160" s="107" t="n">
        <f aca="false">SUM(AJ161)</f>
        <v>0</v>
      </c>
      <c r="AT160" s="107" t="n">
        <f aca="false">SUM(AK161)</f>
        <v>0</v>
      </c>
      <c r="AU160" s="107" t="n">
        <f aca="false">SUM(AL161)</f>
        <v>0</v>
      </c>
    </row>
    <row r="161" customFormat="false" ht="15" hidden="false" customHeight="true" outlineLevel="0" collapsed="false">
      <c r="A161" s="134" t="s">
        <v>564</v>
      </c>
      <c r="B161" s="134" t="s">
        <v>111</v>
      </c>
      <c r="C161" s="134" t="s">
        <v>294</v>
      </c>
      <c r="D161" s="135" t="s">
        <v>565</v>
      </c>
      <c r="E161" s="135"/>
      <c r="F161" s="134" t="s">
        <v>189</v>
      </c>
      <c r="G161" s="136" t="n">
        <v>0.363</v>
      </c>
      <c r="H161" s="137"/>
      <c r="I161" s="137" t="n">
        <f aca="false">ROUND(G161*AO161,2)</f>
        <v>0</v>
      </c>
      <c r="J161" s="137" t="n">
        <f aca="false">ROUND(G161*AP161,2)</f>
        <v>0</v>
      </c>
      <c r="K161" s="137" t="n">
        <f aca="false">ROUND(G161*H161,2)</f>
        <v>0</v>
      </c>
      <c r="L161" s="137" t="n">
        <v>1.665</v>
      </c>
      <c r="M161" s="137" t="n">
        <f aca="false">G161*L161</f>
        <v>0.604395</v>
      </c>
      <c r="N161" s="138" t="s">
        <v>155</v>
      </c>
      <c r="Z161" s="88" t="n">
        <f aca="false">ROUND(IF(AQ161="5",BJ161,0),2)</f>
        <v>0</v>
      </c>
      <c r="AB161" s="88" t="n">
        <f aca="false">ROUND(IF(AQ161="1",BH161,0),2)</f>
        <v>0</v>
      </c>
      <c r="AC161" s="88" t="n">
        <f aca="false">ROUND(IF(AQ161="1",BI161,0),2)</f>
        <v>0</v>
      </c>
      <c r="AD161" s="88" t="n">
        <f aca="false">ROUND(IF(AQ161="7",BH161,0),2)</f>
        <v>0</v>
      </c>
      <c r="AE161" s="88" t="n">
        <f aca="false">ROUND(IF(AQ161="7",BI161,0),2)</f>
        <v>0</v>
      </c>
      <c r="AF161" s="88" t="n">
        <f aca="false">ROUND(IF(AQ161="2",BH161,0),2)</f>
        <v>0</v>
      </c>
      <c r="AG161" s="88" t="n">
        <f aca="false">ROUND(IF(AQ161="2",BI161,0),2)</f>
        <v>0</v>
      </c>
      <c r="AH161" s="88" t="n">
        <f aca="false">ROUND(IF(AQ161="0",BJ161,0),2)</f>
        <v>0</v>
      </c>
      <c r="AI161" s="116" t="s">
        <v>111</v>
      </c>
      <c r="AJ161" s="88" t="n">
        <f aca="false">IF(AN161=0,K161,0)</f>
        <v>0</v>
      </c>
      <c r="AK161" s="88" t="n">
        <f aca="false">IF(AN161=12,K161,0)</f>
        <v>0</v>
      </c>
      <c r="AL161" s="88" t="n">
        <f aca="false">IF(AN161=21,K161,0)</f>
        <v>0</v>
      </c>
      <c r="AN161" s="88" t="n">
        <v>21</v>
      </c>
      <c r="AO161" s="88" t="n">
        <f aca="false">H161*0.721310464</f>
        <v>0</v>
      </c>
      <c r="AP161" s="88" t="n">
        <f aca="false">H161*(1-0.721310464)</f>
        <v>0</v>
      </c>
      <c r="AQ161" s="87" t="s">
        <v>151</v>
      </c>
      <c r="AV161" s="88" t="n">
        <f aca="false">ROUND(AW161+AX161,2)</f>
        <v>0</v>
      </c>
      <c r="AW161" s="88" t="n">
        <f aca="false">ROUND(G161*AO161,2)</f>
        <v>0</v>
      </c>
      <c r="AX161" s="88" t="n">
        <f aca="false">ROUND(G161*AP161,2)</f>
        <v>0</v>
      </c>
      <c r="AY161" s="87" t="s">
        <v>566</v>
      </c>
      <c r="AZ161" s="87" t="s">
        <v>567</v>
      </c>
      <c r="BA161" s="116" t="s">
        <v>552</v>
      </c>
      <c r="BC161" s="88" t="n">
        <f aca="false">AW161+AX161</f>
        <v>0</v>
      </c>
      <c r="BD161" s="88" t="n">
        <f aca="false">H161/(100-BE161)*100</f>
        <v>0</v>
      </c>
      <c r="BE161" s="88" t="n">
        <v>0</v>
      </c>
      <c r="BF161" s="88" t="n">
        <f aca="false">M161</f>
        <v>0.604395</v>
      </c>
      <c r="BH161" s="88" t="n">
        <f aca="false">G161*AO161</f>
        <v>0</v>
      </c>
      <c r="BI161" s="88" t="n">
        <f aca="false">G161*AP161</f>
        <v>0</v>
      </c>
      <c r="BJ161" s="88" t="n">
        <f aca="false">G161*H161</f>
        <v>0</v>
      </c>
      <c r="BK161" s="87" t="s">
        <v>159</v>
      </c>
      <c r="BL161" s="88" t="n">
        <v>21</v>
      </c>
      <c r="BW161" s="88" t="n">
        <v>21</v>
      </c>
      <c r="BX161" s="9" t="s">
        <v>565</v>
      </c>
    </row>
    <row r="162" customFormat="false" ht="15" hidden="false" customHeight="true" outlineLevel="0" collapsed="false">
      <c r="A162" s="128"/>
      <c r="B162" s="129" t="s">
        <v>111</v>
      </c>
      <c r="C162" s="129" t="s">
        <v>253</v>
      </c>
      <c r="D162" s="130" t="s">
        <v>568</v>
      </c>
      <c r="E162" s="130"/>
      <c r="F162" s="128" t="s">
        <v>97</v>
      </c>
      <c r="G162" s="131" t="s">
        <v>97</v>
      </c>
      <c r="H162" s="128"/>
      <c r="I162" s="132" t="n">
        <f aca="false">ROUND(SUM(I163),2)</f>
        <v>0</v>
      </c>
      <c r="J162" s="132" t="n">
        <f aca="false">ROUND(SUM(J163),2)</f>
        <v>0</v>
      </c>
      <c r="K162" s="132" t="n">
        <f aca="false">ROUND(SUM(K163),2)</f>
        <v>0</v>
      </c>
      <c r="L162" s="133"/>
      <c r="M162" s="132" t="n">
        <f aca="false">SUM(M163)</f>
        <v>2.61976555</v>
      </c>
      <c r="N162" s="133"/>
      <c r="AI162" s="116" t="s">
        <v>111</v>
      </c>
      <c r="AS162" s="107" t="n">
        <f aca="false">SUM(AJ163)</f>
        <v>0</v>
      </c>
      <c r="AT162" s="107" t="n">
        <f aca="false">SUM(AK163)</f>
        <v>0</v>
      </c>
      <c r="AU162" s="107" t="n">
        <f aca="false">SUM(AL163)</f>
        <v>0</v>
      </c>
    </row>
    <row r="163" customFormat="false" ht="15" hidden="false" customHeight="true" outlineLevel="0" collapsed="false">
      <c r="A163" s="134" t="s">
        <v>569</v>
      </c>
      <c r="B163" s="134" t="s">
        <v>111</v>
      </c>
      <c r="C163" s="134" t="s">
        <v>570</v>
      </c>
      <c r="D163" s="135" t="s">
        <v>571</v>
      </c>
      <c r="E163" s="135"/>
      <c r="F163" s="134" t="s">
        <v>189</v>
      </c>
      <c r="G163" s="136" t="n">
        <v>0.955</v>
      </c>
      <c r="H163" s="137"/>
      <c r="I163" s="137" t="n">
        <f aca="false">ROUND(G163*AO163,2)</f>
        <v>0</v>
      </c>
      <c r="J163" s="137" t="n">
        <f aca="false">ROUND(G163*AP163,2)</f>
        <v>0</v>
      </c>
      <c r="K163" s="137" t="n">
        <f aca="false">ROUND(G163*H163,2)</f>
        <v>0</v>
      </c>
      <c r="L163" s="137" t="n">
        <v>2.74321</v>
      </c>
      <c r="M163" s="137" t="n">
        <f aca="false">G163*L163</f>
        <v>2.61976555</v>
      </c>
      <c r="N163" s="138" t="s">
        <v>155</v>
      </c>
      <c r="Z163" s="88" t="n">
        <f aca="false">ROUND(IF(AQ163="5",BJ163,0),2)</f>
        <v>0</v>
      </c>
      <c r="AB163" s="88" t="n">
        <f aca="false">ROUND(IF(AQ163="1",BH163,0),2)</f>
        <v>0</v>
      </c>
      <c r="AC163" s="88" t="n">
        <f aca="false">ROUND(IF(AQ163="1",BI163,0),2)</f>
        <v>0</v>
      </c>
      <c r="AD163" s="88" t="n">
        <f aca="false">ROUND(IF(AQ163="7",BH163,0),2)</f>
        <v>0</v>
      </c>
      <c r="AE163" s="88" t="n">
        <f aca="false">ROUND(IF(AQ163="7",BI163,0),2)</f>
        <v>0</v>
      </c>
      <c r="AF163" s="88" t="n">
        <f aca="false">ROUND(IF(AQ163="2",BH163,0),2)</f>
        <v>0</v>
      </c>
      <c r="AG163" s="88" t="n">
        <f aca="false">ROUND(IF(AQ163="2",BI163,0),2)</f>
        <v>0</v>
      </c>
      <c r="AH163" s="88" t="n">
        <f aca="false">ROUND(IF(AQ163="0",BJ163,0),2)</f>
        <v>0</v>
      </c>
      <c r="AI163" s="116" t="s">
        <v>111</v>
      </c>
      <c r="AJ163" s="88" t="n">
        <f aca="false">IF(AN163=0,K163,0)</f>
        <v>0</v>
      </c>
      <c r="AK163" s="88" t="n">
        <f aca="false">IF(AN163=12,K163,0)</f>
        <v>0</v>
      </c>
      <c r="AL163" s="88" t="n">
        <f aca="false">IF(AN163=21,K163,0)</f>
        <v>0</v>
      </c>
      <c r="AN163" s="88" t="n">
        <v>21</v>
      </c>
      <c r="AO163" s="88" t="n">
        <f aca="false">H163*0.636564665</f>
        <v>0</v>
      </c>
      <c r="AP163" s="88" t="n">
        <f aca="false">H163*(1-0.636564665)</f>
        <v>0</v>
      </c>
      <c r="AQ163" s="87" t="s">
        <v>151</v>
      </c>
      <c r="AV163" s="88" t="n">
        <f aca="false">ROUND(AW163+AX163,2)</f>
        <v>0</v>
      </c>
      <c r="AW163" s="88" t="n">
        <f aca="false">ROUND(G163*AO163,2)</f>
        <v>0</v>
      </c>
      <c r="AX163" s="88" t="n">
        <f aca="false">ROUND(G163*AP163,2)</f>
        <v>0</v>
      </c>
      <c r="AY163" s="87" t="s">
        <v>572</v>
      </c>
      <c r="AZ163" s="87" t="s">
        <v>567</v>
      </c>
      <c r="BA163" s="116" t="s">
        <v>552</v>
      </c>
      <c r="BC163" s="88" t="n">
        <f aca="false">AW163+AX163</f>
        <v>0</v>
      </c>
      <c r="BD163" s="88" t="n">
        <f aca="false">H163/(100-BE163)*100</f>
        <v>0</v>
      </c>
      <c r="BE163" s="88" t="n">
        <v>0</v>
      </c>
      <c r="BF163" s="88" t="n">
        <f aca="false">M163</f>
        <v>2.61976555</v>
      </c>
      <c r="BH163" s="88" t="n">
        <f aca="false">G163*AO163</f>
        <v>0</v>
      </c>
      <c r="BI163" s="88" t="n">
        <f aca="false">G163*AP163</f>
        <v>0</v>
      </c>
      <c r="BJ163" s="88" t="n">
        <f aca="false">G163*H163</f>
        <v>0</v>
      </c>
      <c r="BK163" s="87" t="s">
        <v>159</v>
      </c>
      <c r="BL163" s="88" t="n">
        <v>27</v>
      </c>
      <c r="BW163" s="88" t="n">
        <v>21</v>
      </c>
      <c r="BX163" s="9" t="s">
        <v>571</v>
      </c>
    </row>
    <row r="164" customFormat="false" ht="15" hidden="false" customHeight="true" outlineLevel="0" collapsed="false">
      <c r="A164" s="128"/>
      <c r="B164" s="129" t="s">
        <v>111</v>
      </c>
      <c r="C164" s="129" t="s">
        <v>287</v>
      </c>
      <c r="D164" s="130" t="s">
        <v>573</v>
      </c>
      <c r="E164" s="130"/>
      <c r="F164" s="128" t="s">
        <v>97</v>
      </c>
      <c r="G164" s="131" t="s">
        <v>97</v>
      </c>
      <c r="H164" s="128"/>
      <c r="I164" s="132" t="n">
        <f aca="false">ROUND(SUM(I165:I169),2)</f>
        <v>0</v>
      </c>
      <c r="J164" s="132" t="n">
        <f aca="false">ROUND(SUM(J165:J169),2)</f>
        <v>0</v>
      </c>
      <c r="K164" s="132" t="n">
        <f aca="false">ROUND(SUM(K165:K169),2)</f>
        <v>0</v>
      </c>
      <c r="L164" s="133"/>
      <c r="M164" s="132" t="n">
        <f aca="false">SUM(M165:M169)</f>
        <v>0.0018</v>
      </c>
      <c r="N164" s="133"/>
      <c r="AI164" s="116" t="s">
        <v>111</v>
      </c>
      <c r="AS164" s="107" t="n">
        <f aca="false">SUM(AJ165:AJ169)</f>
        <v>0</v>
      </c>
      <c r="AT164" s="107" t="n">
        <f aca="false">SUM(AK165:AK169)</f>
        <v>0</v>
      </c>
      <c r="AU164" s="107" t="n">
        <f aca="false">SUM(AL165:AL169)</f>
        <v>0</v>
      </c>
    </row>
    <row r="165" customFormat="false" ht="23.85" hidden="false" customHeight="true" outlineLevel="0" collapsed="false">
      <c r="A165" s="134" t="s">
        <v>574</v>
      </c>
      <c r="B165" s="134" t="s">
        <v>111</v>
      </c>
      <c r="C165" s="134" t="s">
        <v>575</v>
      </c>
      <c r="D165" s="135" t="s">
        <v>576</v>
      </c>
      <c r="E165" s="135"/>
      <c r="F165" s="134" t="s">
        <v>154</v>
      </c>
      <c r="G165" s="136" t="n">
        <v>0.8</v>
      </c>
      <c r="H165" s="137"/>
      <c r="I165" s="137" t="n">
        <f aca="false">ROUND(G165*AO165,2)</f>
        <v>0</v>
      </c>
      <c r="J165" s="137" t="n">
        <f aca="false">ROUND(G165*AP165,2)</f>
        <v>0</v>
      </c>
      <c r="K165" s="137" t="n">
        <f aca="false">ROUND(G165*H165,2)</f>
        <v>0</v>
      </c>
      <c r="L165" s="137" t="n">
        <v>9E-005</v>
      </c>
      <c r="M165" s="137" t="n">
        <f aca="false">G165*L165</f>
        <v>7.2E-005</v>
      </c>
      <c r="N165" s="138" t="s">
        <v>155</v>
      </c>
      <c r="Z165" s="88" t="n">
        <f aca="false">ROUND(IF(AQ165="5",BJ165,0),2)</f>
        <v>0</v>
      </c>
      <c r="AB165" s="88" t="n">
        <f aca="false">ROUND(IF(AQ165="1",BH165,0),2)</f>
        <v>0</v>
      </c>
      <c r="AC165" s="88" t="n">
        <f aca="false">ROUND(IF(AQ165="1",BI165,0),2)</f>
        <v>0</v>
      </c>
      <c r="AD165" s="88" t="n">
        <f aca="false">ROUND(IF(AQ165="7",BH165,0),2)</f>
        <v>0</v>
      </c>
      <c r="AE165" s="88" t="n">
        <f aca="false">ROUND(IF(AQ165="7",BI165,0),2)</f>
        <v>0</v>
      </c>
      <c r="AF165" s="88" t="n">
        <f aca="false">ROUND(IF(AQ165="2",BH165,0),2)</f>
        <v>0</v>
      </c>
      <c r="AG165" s="88" t="n">
        <f aca="false">ROUND(IF(AQ165="2",BI165,0),2)</f>
        <v>0</v>
      </c>
      <c r="AH165" s="88" t="n">
        <f aca="false">ROUND(IF(AQ165="0",BJ165,0),2)</f>
        <v>0</v>
      </c>
      <c r="AI165" s="116" t="s">
        <v>111</v>
      </c>
      <c r="AJ165" s="88" t="n">
        <f aca="false">IF(AN165=0,K165,0)</f>
        <v>0</v>
      </c>
      <c r="AK165" s="88" t="n">
        <f aca="false">IF(AN165=12,K165,0)</f>
        <v>0</v>
      </c>
      <c r="AL165" s="88" t="n">
        <f aca="false">IF(AN165=21,K165,0)</f>
        <v>0</v>
      </c>
      <c r="AN165" s="88" t="n">
        <v>21</v>
      </c>
      <c r="AO165" s="88" t="n">
        <f aca="false">H165*0.215661765</f>
        <v>0</v>
      </c>
      <c r="AP165" s="88" t="n">
        <f aca="false">H165*(1-0.215661765)</f>
        <v>0</v>
      </c>
      <c r="AQ165" s="87" t="s">
        <v>151</v>
      </c>
      <c r="AV165" s="88" t="n">
        <f aca="false">ROUND(AW165+AX165,2)</f>
        <v>0</v>
      </c>
      <c r="AW165" s="88" t="n">
        <f aca="false">ROUND(G165*AO165,2)</f>
        <v>0</v>
      </c>
      <c r="AX165" s="88" t="n">
        <f aca="false">ROUND(G165*AP165,2)</f>
        <v>0</v>
      </c>
      <c r="AY165" s="87" t="s">
        <v>577</v>
      </c>
      <c r="AZ165" s="87" t="s">
        <v>578</v>
      </c>
      <c r="BA165" s="116" t="s">
        <v>552</v>
      </c>
      <c r="BC165" s="88" t="n">
        <f aca="false">AW165+AX165</f>
        <v>0</v>
      </c>
      <c r="BD165" s="88" t="n">
        <f aca="false">H165/(100-BE165)*100</f>
        <v>0</v>
      </c>
      <c r="BE165" s="88" t="n">
        <v>0</v>
      </c>
      <c r="BF165" s="88" t="n">
        <f aca="false">M165</f>
        <v>7.2E-005</v>
      </c>
      <c r="BH165" s="88" t="n">
        <f aca="false">G165*AO165</f>
        <v>0</v>
      </c>
      <c r="BI165" s="88" t="n">
        <f aca="false">G165*AP165</f>
        <v>0</v>
      </c>
      <c r="BJ165" s="88" t="n">
        <f aca="false">G165*H165</f>
        <v>0</v>
      </c>
      <c r="BK165" s="87" t="s">
        <v>159</v>
      </c>
      <c r="BL165" s="88" t="n">
        <v>38</v>
      </c>
      <c r="BW165" s="88" t="n">
        <v>21</v>
      </c>
      <c r="BX165" s="9" t="s">
        <v>576</v>
      </c>
    </row>
    <row r="166" customFormat="false" ht="23.85" hidden="false" customHeight="true" outlineLevel="0" collapsed="false">
      <c r="A166" s="134" t="s">
        <v>579</v>
      </c>
      <c r="B166" s="134" t="s">
        <v>111</v>
      </c>
      <c r="C166" s="134" t="s">
        <v>580</v>
      </c>
      <c r="D166" s="135" t="s">
        <v>581</v>
      </c>
      <c r="E166" s="135"/>
      <c r="F166" s="134" t="s">
        <v>154</v>
      </c>
      <c r="G166" s="136" t="n">
        <v>14.4</v>
      </c>
      <c r="H166" s="137"/>
      <c r="I166" s="137" t="n">
        <f aca="false">ROUND(G166*AO166,2)</f>
        <v>0</v>
      </c>
      <c r="J166" s="137" t="n">
        <f aca="false">ROUND(G166*AP166,2)</f>
        <v>0</v>
      </c>
      <c r="K166" s="137" t="n">
        <f aca="false">ROUND(G166*H166,2)</f>
        <v>0</v>
      </c>
      <c r="L166" s="137" t="n">
        <v>0.00012</v>
      </c>
      <c r="M166" s="137" t="n">
        <f aca="false">G166*L166</f>
        <v>0.001728</v>
      </c>
      <c r="N166" s="138" t="s">
        <v>155</v>
      </c>
      <c r="Z166" s="88" t="n">
        <f aca="false">ROUND(IF(AQ166="5",BJ166,0),2)</f>
        <v>0</v>
      </c>
      <c r="AB166" s="88" t="n">
        <f aca="false">ROUND(IF(AQ166="1",BH166,0),2)</f>
        <v>0</v>
      </c>
      <c r="AC166" s="88" t="n">
        <f aca="false">ROUND(IF(AQ166="1",BI166,0),2)</f>
        <v>0</v>
      </c>
      <c r="AD166" s="88" t="n">
        <f aca="false">ROUND(IF(AQ166="7",BH166,0),2)</f>
        <v>0</v>
      </c>
      <c r="AE166" s="88" t="n">
        <f aca="false">ROUND(IF(AQ166="7",BI166,0),2)</f>
        <v>0</v>
      </c>
      <c r="AF166" s="88" t="n">
        <f aca="false">ROUND(IF(AQ166="2",BH166,0),2)</f>
        <v>0</v>
      </c>
      <c r="AG166" s="88" t="n">
        <f aca="false">ROUND(IF(AQ166="2",BI166,0),2)</f>
        <v>0</v>
      </c>
      <c r="AH166" s="88" t="n">
        <f aca="false">ROUND(IF(AQ166="0",BJ166,0),2)</f>
        <v>0</v>
      </c>
      <c r="AI166" s="116" t="s">
        <v>111</v>
      </c>
      <c r="AJ166" s="88" t="n">
        <f aca="false">IF(AN166=0,K166,0)</f>
        <v>0</v>
      </c>
      <c r="AK166" s="88" t="n">
        <f aca="false">IF(AN166=12,K166,0)</f>
        <v>0</v>
      </c>
      <c r="AL166" s="88" t="n">
        <f aca="false">IF(AN166=21,K166,0)</f>
        <v>0</v>
      </c>
      <c r="AN166" s="88" t="n">
        <v>21</v>
      </c>
      <c r="AO166" s="88" t="n">
        <f aca="false">H166*0.264964356</f>
        <v>0</v>
      </c>
      <c r="AP166" s="88" t="n">
        <f aca="false">H166*(1-0.264964356)</f>
        <v>0</v>
      </c>
      <c r="AQ166" s="87" t="s">
        <v>151</v>
      </c>
      <c r="AV166" s="88" t="n">
        <f aca="false">ROUND(AW166+AX166,2)</f>
        <v>0</v>
      </c>
      <c r="AW166" s="88" t="n">
        <f aca="false">ROUND(G166*AO166,2)</f>
        <v>0</v>
      </c>
      <c r="AX166" s="88" t="n">
        <f aca="false">ROUND(G166*AP166,2)</f>
        <v>0</v>
      </c>
      <c r="AY166" s="87" t="s">
        <v>577</v>
      </c>
      <c r="AZ166" s="87" t="s">
        <v>578</v>
      </c>
      <c r="BA166" s="116" t="s">
        <v>552</v>
      </c>
      <c r="BC166" s="88" t="n">
        <f aca="false">AW166+AX166</f>
        <v>0</v>
      </c>
      <c r="BD166" s="88" t="n">
        <f aca="false">H166/(100-BE166)*100</f>
        <v>0</v>
      </c>
      <c r="BE166" s="88" t="n">
        <v>0</v>
      </c>
      <c r="BF166" s="88" t="n">
        <f aca="false">M166</f>
        <v>0.001728</v>
      </c>
      <c r="BH166" s="88" t="n">
        <f aca="false">G166*AO166</f>
        <v>0</v>
      </c>
      <c r="BI166" s="88" t="n">
        <f aca="false">G166*AP166</f>
        <v>0</v>
      </c>
      <c r="BJ166" s="88" t="n">
        <f aca="false">G166*H166</f>
        <v>0</v>
      </c>
      <c r="BK166" s="87" t="s">
        <v>159</v>
      </c>
      <c r="BL166" s="88" t="n">
        <v>38</v>
      </c>
      <c r="BW166" s="88" t="n">
        <v>21</v>
      </c>
      <c r="BX166" s="9" t="s">
        <v>581</v>
      </c>
    </row>
    <row r="167" customFormat="false" ht="23.85" hidden="false" customHeight="true" outlineLevel="0" collapsed="false">
      <c r="A167" s="139" t="s">
        <v>582</v>
      </c>
      <c r="B167" s="139" t="s">
        <v>111</v>
      </c>
      <c r="C167" s="139" t="s">
        <v>583</v>
      </c>
      <c r="D167" s="140" t="s">
        <v>584</v>
      </c>
      <c r="E167" s="140"/>
      <c r="F167" s="139" t="s">
        <v>202</v>
      </c>
      <c r="G167" s="141" t="n">
        <v>4.4</v>
      </c>
      <c r="H167" s="142"/>
      <c r="I167" s="142" t="n">
        <f aca="false">ROUND(G167*AO167,2)</f>
        <v>0</v>
      </c>
      <c r="J167" s="142" t="n">
        <f aca="false">ROUND(G167*AP167,2)</f>
        <v>0</v>
      </c>
      <c r="K167" s="142" t="n">
        <f aca="false">ROUND(G167*H167,2)</f>
        <v>0</v>
      </c>
      <c r="L167" s="142" t="n">
        <v>0</v>
      </c>
      <c r="M167" s="142" t="n">
        <f aca="false">G167*L167</f>
        <v>0</v>
      </c>
      <c r="N167" s="143" t="s">
        <v>155</v>
      </c>
      <c r="Z167" s="88" t="n">
        <f aca="false">ROUND(IF(AQ167="5",BJ167,0),2)</f>
        <v>0</v>
      </c>
      <c r="AB167" s="88" t="n">
        <f aca="false">ROUND(IF(AQ167="1",BH167,0),2)</f>
        <v>0</v>
      </c>
      <c r="AC167" s="88" t="n">
        <f aca="false">ROUND(IF(AQ167="1",BI167,0),2)</f>
        <v>0</v>
      </c>
      <c r="AD167" s="88" t="n">
        <f aca="false">ROUND(IF(AQ167="7",BH167,0),2)</f>
        <v>0</v>
      </c>
      <c r="AE167" s="88" t="n">
        <f aca="false">ROUND(IF(AQ167="7",BI167,0),2)</f>
        <v>0</v>
      </c>
      <c r="AF167" s="88" t="n">
        <f aca="false">ROUND(IF(AQ167="2",BH167,0),2)</f>
        <v>0</v>
      </c>
      <c r="AG167" s="88" t="n">
        <f aca="false">ROUND(IF(AQ167="2",BI167,0),2)</f>
        <v>0</v>
      </c>
      <c r="AH167" s="88" t="n">
        <f aca="false">ROUND(IF(AQ167="0",BJ167,0),2)</f>
        <v>0</v>
      </c>
      <c r="AI167" s="116" t="s">
        <v>111</v>
      </c>
      <c r="AJ167" s="144" t="n">
        <f aca="false">IF(AN167=0,K167,0)</f>
        <v>0</v>
      </c>
      <c r="AK167" s="144" t="n">
        <f aca="false">IF(AN167=12,K167,0)</f>
        <v>0</v>
      </c>
      <c r="AL167" s="144" t="n">
        <f aca="false">IF(AN167=21,K167,0)</f>
        <v>0</v>
      </c>
      <c r="AN167" s="88" t="n">
        <v>21</v>
      </c>
      <c r="AO167" s="88" t="n">
        <f aca="false">H167*1</f>
        <v>0</v>
      </c>
      <c r="AP167" s="88" t="n">
        <f aca="false">H167*(1-1)</f>
        <v>0</v>
      </c>
      <c r="AQ167" s="145" t="s">
        <v>151</v>
      </c>
      <c r="AV167" s="88" t="n">
        <f aca="false">ROUND(AW167+AX167,2)</f>
        <v>0</v>
      </c>
      <c r="AW167" s="88" t="n">
        <f aca="false">ROUND(G167*AO167,2)</f>
        <v>0</v>
      </c>
      <c r="AX167" s="88" t="n">
        <f aca="false">ROUND(G167*AP167,2)</f>
        <v>0</v>
      </c>
      <c r="AY167" s="87" t="s">
        <v>577</v>
      </c>
      <c r="AZ167" s="87" t="s">
        <v>578</v>
      </c>
      <c r="BA167" s="116" t="s">
        <v>552</v>
      </c>
      <c r="BC167" s="88" t="n">
        <f aca="false">AW167+AX167</f>
        <v>0</v>
      </c>
      <c r="BD167" s="88" t="n">
        <f aca="false">H167/(100-BE167)*100</f>
        <v>0</v>
      </c>
      <c r="BE167" s="88" t="n">
        <v>0</v>
      </c>
      <c r="BF167" s="88" t="n">
        <f aca="false">M167</f>
        <v>0</v>
      </c>
      <c r="BH167" s="144" t="n">
        <f aca="false">G167*AO167</f>
        <v>0</v>
      </c>
      <c r="BI167" s="144" t="n">
        <f aca="false">G167*AP167</f>
        <v>0</v>
      </c>
      <c r="BJ167" s="144" t="n">
        <f aca="false">G167*H167</f>
        <v>0</v>
      </c>
      <c r="BK167" s="145" t="s">
        <v>180</v>
      </c>
      <c r="BL167" s="88" t="n">
        <v>38</v>
      </c>
      <c r="BW167" s="88" t="n">
        <v>21</v>
      </c>
      <c r="BX167" s="146" t="s">
        <v>584</v>
      </c>
    </row>
    <row r="168" customFormat="false" ht="23.85" hidden="false" customHeight="true" outlineLevel="0" collapsed="false">
      <c r="A168" s="139" t="s">
        <v>585</v>
      </c>
      <c r="B168" s="139" t="s">
        <v>111</v>
      </c>
      <c r="C168" s="139" t="s">
        <v>586</v>
      </c>
      <c r="D168" s="140" t="s">
        <v>587</v>
      </c>
      <c r="E168" s="140"/>
      <c r="F168" s="139" t="s">
        <v>202</v>
      </c>
      <c r="G168" s="141" t="n">
        <v>79.2</v>
      </c>
      <c r="H168" s="142"/>
      <c r="I168" s="142" t="n">
        <f aca="false">ROUND(G168*AO168,2)</f>
        <v>0</v>
      </c>
      <c r="J168" s="142" t="n">
        <f aca="false">ROUND(G168*AP168,2)</f>
        <v>0</v>
      </c>
      <c r="K168" s="142" t="n">
        <f aca="false">ROUND(G168*H168,2)</f>
        <v>0</v>
      </c>
      <c r="L168" s="142" t="n">
        <v>0</v>
      </c>
      <c r="M168" s="142" t="n">
        <f aca="false">G168*L168</f>
        <v>0</v>
      </c>
      <c r="N168" s="143" t="s">
        <v>155</v>
      </c>
      <c r="Z168" s="88" t="n">
        <f aca="false">ROUND(IF(AQ168="5",BJ168,0),2)</f>
        <v>0</v>
      </c>
      <c r="AB168" s="88" t="n">
        <f aca="false">ROUND(IF(AQ168="1",BH168,0),2)</f>
        <v>0</v>
      </c>
      <c r="AC168" s="88" t="n">
        <f aca="false">ROUND(IF(AQ168="1",BI168,0),2)</f>
        <v>0</v>
      </c>
      <c r="AD168" s="88" t="n">
        <f aca="false">ROUND(IF(AQ168="7",BH168,0),2)</f>
        <v>0</v>
      </c>
      <c r="AE168" s="88" t="n">
        <f aca="false">ROUND(IF(AQ168="7",BI168,0),2)</f>
        <v>0</v>
      </c>
      <c r="AF168" s="88" t="n">
        <f aca="false">ROUND(IF(AQ168="2",BH168,0),2)</f>
        <v>0</v>
      </c>
      <c r="AG168" s="88" t="n">
        <f aca="false">ROUND(IF(AQ168="2",BI168,0),2)</f>
        <v>0</v>
      </c>
      <c r="AH168" s="88" t="n">
        <f aca="false">ROUND(IF(AQ168="0",BJ168,0),2)</f>
        <v>0</v>
      </c>
      <c r="AI168" s="116" t="s">
        <v>111</v>
      </c>
      <c r="AJ168" s="144" t="n">
        <f aca="false">IF(AN168=0,K168,0)</f>
        <v>0</v>
      </c>
      <c r="AK168" s="144" t="n">
        <f aca="false">IF(AN168=12,K168,0)</f>
        <v>0</v>
      </c>
      <c r="AL168" s="144" t="n">
        <f aca="false">IF(AN168=21,K168,0)</f>
        <v>0</v>
      </c>
      <c r="AN168" s="88" t="n">
        <v>21</v>
      </c>
      <c r="AO168" s="88" t="n">
        <f aca="false">H168*1</f>
        <v>0</v>
      </c>
      <c r="AP168" s="88" t="n">
        <f aca="false">H168*(1-1)</f>
        <v>0</v>
      </c>
      <c r="AQ168" s="145" t="s">
        <v>151</v>
      </c>
      <c r="AV168" s="88" t="n">
        <f aca="false">ROUND(AW168+AX168,2)</f>
        <v>0</v>
      </c>
      <c r="AW168" s="88" t="n">
        <f aca="false">ROUND(G168*AO168,2)</f>
        <v>0</v>
      </c>
      <c r="AX168" s="88" t="n">
        <f aca="false">ROUND(G168*AP168,2)</f>
        <v>0</v>
      </c>
      <c r="AY168" s="87" t="s">
        <v>577</v>
      </c>
      <c r="AZ168" s="87" t="s">
        <v>578</v>
      </c>
      <c r="BA168" s="116" t="s">
        <v>552</v>
      </c>
      <c r="BC168" s="88" t="n">
        <f aca="false">AW168+AX168</f>
        <v>0</v>
      </c>
      <c r="BD168" s="88" t="n">
        <f aca="false">H168/(100-BE168)*100</f>
        <v>0</v>
      </c>
      <c r="BE168" s="88" t="n">
        <v>0</v>
      </c>
      <c r="BF168" s="88" t="n">
        <f aca="false">M168</f>
        <v>0</v>
      </c>
      <c r="BH168" s="144" t="n">
        <f aca="false">G168*AO168</f>
        <v>0</v>
      </c>
      <c r="BI168" s="144" t="n">
        <f aca="false">G168*AP168</f>
        <v>0</v>
      </c>
      <c r="BJ168" s="144" t="n">
        <f aca="false">G168*H168</f>
        <v>0</v>
      </c>
      <c r="BK168" s="145" t="s">
        <v>180</v>
      </c>
      <c r="BL168" s="88" t="n">
        <v>38</v>
      </c>
      <c r="BW168" s="88" t="n">
        <v>21</v>
      </c>
      <c r="BX168" s="146" t="s">
        <v>587</v>
      </c>
    </row>
    <row r="169" customFormat="false" ht="15" hidden="false" customHeight="true" outlineLevel="0" collapsed="false">
      <c r="A169" s="134" t="s">
        <v>588</v>
      </c>
      <c r="B169" s="134" t="s">
        <v>111</v>
      </c>
      <c r="C169" s="134" t="s">
        <v>334</v>
      </c>
      <c r="D169" s="135" t="s">
        <v>589</v>
      </c>
      <c r="E169" s="135"/>
      <c r="F169" s="134" t="s">
        <v>179</v>
      </c>
      <c r="G169" s="136" t="n">
        <v>0.002</v>
      </c>
      <c r="H169" s="137"/>
      <c r="I169" s="137" t="n">
        <f aca="false">ROUND(G169*AO169,2)</f>
        <v>0</v>
      </c>
      <c r="J169" s="137" t="n">
        <f aca="false">ROUND(G169*AP169,2)</f>
        <v>0</v>
      </c>
      <c r="K169" s="137" t="n">
        <f aca="false">ROUND(G169*H169,2)</f>
        <v>0</v>
      </c>
      <c r="L169" s="137" t="n">
        <v>0</v>
      </c>
      <c r="M169" s="137" t="n">
        <f aca="false">G169*L169</f>
        <v>0</v>
      </c>
      <c r="N169" s="138" t="s">
        <v>155</v>
      </c>
      <c r="Z169" s="88" t="n">
        <f aca="false">ROUND(IF(AQ169="5",BJ169,0),2)</f>
        <v>0</v>
      </c>
      <c r="AB169" s="88" t="n">
        <f aca="false">ROUND(IF(AQ169="1",BH169,0),2)</f>
        <v>0</v>
      </c>
      <c r="AC169" s="88" t="n">
        <f aca="false">ROUND(IF(AQ169="1",BI169,0),2)</f>
        <v>0</v>
      </c>
      <c r="AD169" s="88" t="n">
        <f aca="false">ROUND(IF(AQ169="7",BH169,0),2)</f>
        <v>0</v>
      </c>
      <c r="AE169" s="88" t="n">
        <f aca="false">ROUND(IF(AQ169="7",BI169,0),2)</f>
        <v>0</v>
      </c>
      <c r="AF169" s="88" t="n">
        <f aca="false">ROUND(IF(AQ169="2",BH169,0),2)</f>
        <v>0</v>
      </c>
      <c r="AG169" s="88" t="n">
        <f aca="false">ROUND(IF(AQ169="2",BI169,0),2)</f>
        <v>0</v>
      </c>
      <c r="AH169" s="88" t="n">
        <f aca="false">ROUND(IF(AQ169="0",BJ169,0),2)</f>
        <v>0</v>
      </c>
      <c r="AI169" s="116" t="s">
        <v>111</v>
      </c>
      <c r="AJ169" s="88" t="n">
        <f aca="false">IF(AN169=0,K169,0)</f>
        <v>0</v>
      </c>
      <c r="AK169" s="88" t="n">
        <f aca="false">IF(AN169=12,K169,0)</f>
        <v>0</v>
      </c>
      <c r="AL169" s="88" t="n">
        <f aca="false">IF(AN169=21,K169,0)</f>
        <v>0</v>
      </c>
      <c r="AN169" s="88" t="n">
        <v>21</v>
      </c>
      <c r="AO169" s="88" t="n">
        <f aca="false">H169*0</f>
        <v>0</v>
      </c>
      <c r="AP169" s="88" t="n">
        <f aca="false">H169*(1-0)</f>
        <v>0</v>
      </c>
      <c r="AQ169" s="87" t="s">
        <v>170</v>
      </c>
      <c r="AV169" s="88" t="n">
        <f aca="false">ROUND(AW169+AX169,2)</f>
        <v>0</v>
      </c>
      <c r="AW169" s="88" t="n">
        <f aca="false">ROUND(G169*AO169,2)</f>
        <v>0</v>
      </c>
      <c r="AX169" s="88" t="n">
        <f aca="false">ROUND(G169*AP169,2)</f>
        <v>0</v>
      </c>
      <c r="AY169" s="87" t="s">
        <v>577</v>
      </c>
      <c r="AZ169" s="87" t="s">
        <v>578</v>
      </c>
      <c r="BA169" s="116" t="s">
        <v>552</v>
      </c>
      <c r="BC169" s="88" t="n">
        <f aca="false">AW169+AX169</f>
        <v>0</v>
      </c>
      <c r="BD169" s="88" t="n">
        <f aca="false">H169/(100-BE169)*100</f>
        <v>0</v>
      </c>
      <c r="BE169" s="88" t="n">
        <v>0</v>
      </c>
      <c r="BF169" s="88" t="n">
        <f aca="false">M169</f>
        <v>0</v>
      </c>
      <c r="BH169" s="88" t="n">
        <f aca="false">G169*AO169</f>
        <v>0</v>
      </c>
      <c r="BI169" s="88" t="n">
        <f aca="false">G169*AP169</f>
        <v>0</v>
      </c>
      <c r="BJ169" s="88" t="n">
        <f aca="false">G169*H169</f>
        <v>0</v>
      </c>
      <c r="BK169" s="87" t="s">
        <v>159</v>
      </c>
      <c r="BL169" s="88" t="n">
        <v>38</v>
      </c>
      <c r="BW169" s="88" t="n">
        <v>21</v>
      </c>
      <c r="BX169" s="9" t="s">
        <v>589</v>
      </c>
    </row>
    <row r="170" customFormat="false" ht="15" hidden="false" customHeight="true" outlineLevel="0" collapsed="false">
      <c r="A170" s="128"/>
      <c r="B170" s="129" t="s">
        <v>111</v>
      </c>
      <c r="C170" s="129" t="s">
        <v>590</v>
      </c>
      <c r="D170" s="130" t="s">
        <v>112</v>
      </c>
      <c r="E170" s="130"/>
      <c r="F170" s="128" t="s">
        <v>97</v>
      </c>
      <c r="G170" s="131" t="s">
        <v>97</v>
      </c>
      <c r="H170" s="128"/>
      <c r="I170" s="132" t="n">
        <f aca="false">ROUND(SUM(I171:I173),2)</f>
        <v>0</v>
      </c>
      <c r="J170" s="132" t="n">
        <f aca="false">ROUND(SUM(J171:J173),2)</f>
        <v>0</v>
      </c>
      <c r="K170" s="132" t="n">
        <f aca="false">ROUND(SUM(K171:K173),2)</f>
        <v>0</v>
      </c>
      <c r="L170" s="133"/>
      <c r="M170" s="132" t="n">
        <f aca="false">SUM(M171:M173)</f>
        <v>1.53</v>
      </c>
      <c r="N170" s="133"/>
      <c r="AI170" s="116" t="s">
        <v>111</v>
      </c>
      <c r="AS170" s="107" t="n">
        <f aca="false">SUM(AJ171:AJ173)</f>
        <v>0</v>
      </c>
      <c r="AT170" s="107" t="n">
        <f aca="false">SUM(AK171:AK173)</f>
        <v>0</v>
      </c>
      <c r="AU170" s="107" t="n">
        <f aca="false">SUM(AL171:AL173)</f>
        <v>0</v>
      </c>
    </row>
    <row r="171" customFormat="false" ht="35.05" hidden="false" customHeight="true" outlineLevel="0" collapsed="false">
      <c r="A171" s="134" t="s">
        <v>591</v>
      </c>
      <c r="B171" s="134" t="s">
        <v>111</v>
      </c>
      <c r="C171" s="134" t="s">
        <v>592</v>
      </c>
      <c r="D171" s="135" t="s">
        <v>593</v>
      </c>
      <c r="E171" s="135"/>
      <c r="F171" s="134" t="s">
        <v>594</v>
      </c>
      <c r="G171" s="136" t="n">
        <v>6</v>
      </c>
      <c r="H171" s="137"/>
      <c r="I171" s="137" t="n">
        <f aca="false">ROUND(G171*AO171,2)</f>
        <v>0</v>
      </c>
      <c r="J171" s="137" t="n">
        <f aca="false">ROUND(G171*AP171,2)</f>
        <v>0</v>
      </c>
      <c r="K171" s="137" t="n">
        <f aca="false">ROUND(G171*H171,2)</f>
        <v>0</v>
      </c>
      <c r="L171" s="137" t="n">
        <v>0.25</v>
      </c>
      <c r="M171" s="137" t="n">
        <f aca="false">G171*L171</f>
        <v>1.5</v>
      </c>
      <c r="N171" s="138"/>
      <c r="Z171" s="88" t="n">
        <f aca="false">ROUND(IF(AQ171="5",BJ171,0),2)</f>
        <v>0</v>
      </c>
      <c r="AB171" s="88" t="n">
        <f aca="false">ROUND(IF(AQ171="1",BH171,0),2)</f>
        <v>0</v>
      </c>
      <c r="AC171" s="88" t="n">
        <f aca="false">ROUND(IF(AQ171="1",BI171,0),2)</f>
        <v>0</v>
      </c>
      <c r="AD171" s="88" t="n">
        <f aca="false">ROUND(IF(AQ171="7",BH171,0),2)</f>
        <v>0</v>
      </c>
      <c r="AE171" s="88" t="n">
        <f aca="false">ROUND(IF(AQ171="7",BI171,0),2)</f>
        <v>0</v>
      </c>
      <c r="AF171" s="88" t="n">
        <f aca="false">ROUND(IF(AQ171="2",BH171,0),2)</f>
        <v>0</v>
      </c>
      <c r="AG171" s="88" t="n">
        <f aca="false">ROUND(IF(AQ171="2",BI171,0),2)</f>
        <v>0</v>
      </c>
      <c r="AH171" s="88" t="n">
        <f aca="false">ROUND(IF(AQ171="0",BJ171,0),2)</f>
        <v>0</v>
      </c>
      <c r="AI171" s="116" t="s">
        <v>111</v>
      </c>
      <c r="AJ171" s="88" t="n">
        <f aca="false">IF(AN171=0,K171,0)</f>
        <v>0</v>
      </c>
      <c r="AK171" s="88" t="n">
        <f aca="false">IF(AN171=12,K171,0)</f>
        <v>0</v>
      </c>
      <c r="AL171" s="88" t="n">
        <f aca="false">IF(AN171=21,K171,0)</f>
        <v>0</v>
      </c>
      <c r="AN171" s="88" t="n">
        <v>21</v>
      </c>
      <c r="AO171" s="88" t="n">
        <f aca="false">H171*0.955752212</f>
        <v>0</v>
      </c>
      <c r="AP171" s="88" t="n">
        <f aca="false">H171*(1-0.955752212)</f>
        <v>0</v>
      </c>
      <c r="AQ171" s="87" t="s">
        <v>176</v>
      </c>
      <c r="AV171" s="88" t="n">
        <f aca="false">ROUND(AW171+AX171,2)</f>
        <v>0</v>
      </c>
      <c r="AW171" s="88" t="n">
        <f aca="false">ROUND(G171*AO171,2)</f>
        <v>0</v>
      </c>
      <c r="AX171" s="88" t="n">
        <f aca="false">ROUND(G171*AP171,2)</f>
        <v>0</v>
      </c>
      <c r="AY171" s="87" t="s">
        <v>595</v>
      </c>
      <c r="AZ171" s="87" t="s">
        <v>596</v>
      </c>
      <c r="BA171" s="116" t="s">
        <v>552</v>
      </c>
      <c r="BC171" s="88" t="n">
        <f aca="false">AW171+AX171</f>
        <v>0</v>
      </c>
      <c r="BD171" s="88" t="n">
        <f aca="false">H171/(100-BE171)*100</f>
        <v>0</v>
      </c>
      <c r="BE171" s="88" t="n">
        <v>0</v>
      </c>
      <c r="BF171" s="88" t="n">
        <f aca="false">M171</f>
        <v>1.5</v>
      </c>
      <c r="BH171" s="88" t="n">
        <f aca="false">G171*AO171</f>
        <v>0</v>
      </c>
      <c r="BI171" s="88" t="n">
        <f aca="false">G171*AP171</f>
        <v>0</v>
      </c>
      <c r="BJ171" s="88" t="n">
        <f aca="false">G171*H171</f>
        <v>0</v>
      </c>
      <c r="BK171" s="87" t="s">
        <v>159</v>
      </c>
      <c r="BL171" s="88"/>
      <c r="BW171" s="88" t="n">
        <v>21</v>
      </c>
      <c r="BX171" s="9" t="s">
        <v>593</v>
      </c>
    </row>
    <row r="172" customFormat="false" ht="35.05" hidden="false" customHeight="true" outlineLevel="0" collapsed="false">
      <c r="A172" s="134" t="s">
        <v>597</v>
      </c>
      <c r="B172" s="134" t="s">
        <v>111</v>
      </c>
      <c r="C172" s="134" t="s">
        <v>598</v>
      </c>
      <c r="D172" s="135" t="s">
        <v>599</v>
      </c>
      <c r="E172" s="135"/>
      <c r="F172" s="134" t="s">
        <v>594</v>
      </c>
      <c r="G172" s="136" t="n">
        <v>1</v>
      </c>
      <c r="H172" s="137"/>
      <c r="I172" s="137" t="n">
        <f aca="false">ROUND(G172*AO172,2)</f>
        <v>0</v>
      </c>
      <c r="J172" s="137" t="n">
        <f aca="false">ROUND(G172*AP172,2)</f>
        <v>0</v>
      </c>
      <c r="K172" s="137" t="n">
        <f aca="false">ROUND(G172*H172,2)</f>
        <v>0</v>
      </c>
      <c r="L172" s="137" t="n">
        <v>0.03</v>
      </c>
      <c r="M172" s="137" t="n">
        <f aca="false">G172*L172</f>
        <v>0.03</v>
      </c>
      <c r="N172" s="138"/>
      <c r="Z172" s="88" t="n">
        <f aca="false">ROUND(IF(AQ172="5",BJ172,0),2)</f>
        <v>0</v>
      </c>
      <c r="AB172" s="88" t="n">
        <f aca="false">ROUND(IF(AQ172="1",BH172,0),2)</f>
        <v>0</v>
      </c>
      <c r="AC172" s="88" t="n">
        <f aca="false">ROUND(IF(AQ172="1",BI172,0),2)</f>
        <v>0</v>
      </c>
      <c r="AD172" s="88" t="n">
        <f aca="false">ROUND(IF(AQ172="7",BH172,0),2)</f>
        <v>0</v>
      </c>
      <c r="AE172" s="88" t="n">
        <f aca="false">ROUND(IF(AQ172="7",BI172,0),2)</f>
        <v>0</v>
      </c>
      <c r="AF172" s="88" t="n">
        <f aca="false">ROUND(IF(AQ172="2",BH172,0),2)</f>
        <v>0</v>
      </c>
      <c r="AG172" s="88" t="n">
        <f aca="false">ROUND(IF(AQ172="2",BI172,0),2)</f>
        <v>0</v>
      </c>
      <c r="AH172" s="88" t="n">
        <f aca="false">ROUND(IF(AQ172="0",BJ172,0),2)</f>
        <v>0</v>
      </c>
      <c r="AI172" s="116" t="s">
        <v>111</v>
      </c>
      <c r="AJ172" s="88" t="n">
        <f aca="false">IF(AN172=0,K172,0)</f>
        <v>0</v>
      </c>
      <c r="AK172" s="88" t="n">
        <f aca="false">IF(AN172=12,K172,0)</f>
        <v>0</v>
      </c>
      <c r="AL172" s="88" t="n">
        <f aca="false">IF(AN172=21,K172,0)</f>
        <v>0</v>
      </c>
      <c r="AN172" s="88" t="n">
        <v>21</v>
      </c>
      <c r="AO172" s="88" t="n">
        <f aca="false">H172*0.9228</f>
        <v>0</v>
      </c>
      <c r="AP172" s="88" t="n">
        <f aca="false">H172*(1-0.9228)</f>
        <v>0</v>
      </c>
      <c r="AQ172" s="87" t="s">
        <v>176</v>
      </c>
      <c r="AV172" s="88" t="n">
        <f aca="false">ROUND(AW172+AX172,2)</f>
        <v>0</v>
      </c>
      <c r="AW172" s="88" t="n">
        <f aca="false">ROUND(G172*AO172,2)</f>
        <v>0</v>
      </c>
      <c r="AX172" s="88" t="n">
        <f aca="false">ROUND(G172*AP172,2)</f>
        <v>0</v>
      </c>
      <c r="AY172" s="87" t="s">
        <v>595</v>
      </c>
      <c r="AZ172" s="87" t="s">
        <v>596</v>
      </c>
      <c r="BA172" s="116" t="s">
        <v>552</v>
      </c>
      <c r="BC172" s="88" t="n">
        <f aca="false">AW172+AX172</f>
        <v>0</v>
      </c>
      <c r="BD172" s="88" t="n">
        <f aca="false">H172/(100-BE172)*100</f>
        <v>0</v>
      </c>
      <c r="BE172" s="88" t="n">
        <v>0</v>
      </c>
      <c r="BF172" s="88" t="n">
        <f aca="false">M172</f>
        <v>0.03</v>
      </c>
      <c r="BH172" s="88" t="n">
        <f aca="false">G172*AO172</f>
        <v>0</v>
      </c>
      <c r="BI172" s="88" t="n">
        <f aca="false">G172*AP172</f>
        <v>0</v>
      </c>
      <c r="BJ172" s="88" t="n">
        <f aca="false">G172*H172</f>
        <v>0</v>
      </c>
      <c r="BK172" s="87" t="s">
        <v>159</v>
      </c>
      <c r="BL172" s="88"/>
      <c r="BW172" s="88" t="n">
        <v>21</v>
      </c>
      <c r="BX172" s="9" t="s">
        <v>599</v>
      </c>
    </row>
    <row r="173" customFormat="false" ht="15" hidden="false" customHeight="true" outlineLevel="0" collapsed="false">
      <c r="A173" s="134" t="s">
        <v>600</v>
      </c>
      <c r="B173" s="134" t="s">
        <v>111</v>
      </c>
      <c r="C173" s="134" t="s">
        <v>334</v>
      </c>
      <c r="D173" s="135" t="s">
        <v>589</v>
      </c>
      <c r="E173" s="135"/>
      <c r="F173" s="134" t="s">
        <v>179</v>
      </c>
      <c r="G173" s="136" t="n">
        <v>1.53</v>
      </c>
      <c r="H173" s="137"/>
      <c r="I173" s="137" t="n">
        <f aca="false">ROUND(G173*AO173,2)</f>
        <v>0</v>
      </c>
      <c r="J173" s="137" t="n">
        <f aca="false">ROUND(G173*AP173,2)</f>
        <v>0</v>
      </c>
      <c r="K173" s="137" t="n">
        <f aca="false">ROUND(G173*H173,2)</f>
        <v>0</v>
      </c>
      <c r="L173" s="137" t="n">
        <v>0</v>
      </c>
      <c r="M173" s="137" t="n">
        <f aca="false">G173*L173</f>
        <v>0</v>
      </c>
      <c r="N173" s="138" t="s">
        <v>155</v>
      </c>
      <c r="Z173" s="88" t="n">
        <f aca="false">ROUND(IF(AQ173="5",BJ173,0),2)</f>
        <v>0</v>
      </c>
      <c r="AB173" s="88" t="n">
        <f aca="false">ROUND(IF(AQ173="1",BH173,0),2)</f>
        <v>0</v>
      </c>
      <c r="AC173" s="88" t="n">
        <f aca="false">ROUND(IF(AQ173="1",BI173,0),2)</f>
        <v>0</v>
      </c>
      <c r="AD173" s="88" t="n">
        <f aca="false">ROUND(IF(AQ173="7",BH173,0),2)</f>
        <v>0</v>
      </c>
      <c r="AE173" s="88" t="n">
        <f aca="false">ROUND(IF(AQ173="7",BI173,0),2)</f>
        <v>0</v>
      </c>
      <c r="AF173" s="88" t="n">
        <f aca="false">ROUND(IF(AQ173="2",BH173,0),2)</f>
        <v>0</v>
      </c>
      <c r="AG173" s="88" t="n">
        <f aca="false">ROUND(IF(AQ173="2",BI173,0),2)</f>
        <v>0</v>
      </c>
      <c r="AH173" s="88" t="n">
        <f aca="false">ROUND(IF(AQ173="0",BJ173,0),2)</f>
        <v>0</v>
      </c>
      <c r="AI173" s="116" t="s">
        <v>111</v>
      </c>
      <c r="AJ173" s="88" t="n">
        <f aca="false">IF(AN173=0,K173,0)</f>
        <v>0</v>
      </c>
      <c r="AK173" s="88" t="n">
        <f aca="false">IF(AN173=12,K173,0)</f>
        <v>0</v>
      </c>
      <c r="AL173" s="88" t="n">
        <f aca="false">IF(AN173=21,K173,0)</f>
        <v>0</v>
      </c>
      <c r="AN173" s="88" t="n">
        <v>21</v>
      </c>
      <c r="AO173" s="88" t="n">
        <f aca="false">H173*0</f>
        <v>0</v>
      </c>
      <c r="AP173" s="88" t="n">
        <f aca="false">H173*(1-0)</f>
        <v>0</v>
      </c>
      <c r="AQ173" s="87" t="s">
        <v>170</v>
      </c>
      <c r="AV173" s="88" t="n">
        <f aca="false">ROUND(AW173+AX173,2)</f>
        <v>0</v>
      </c>
      <c r="AW173" s="88" t="n">
        <f aca="false">ROUND(G173*AO173,2)</f>
        <v>0</v>
      </c>
      <c r="AX173" s="88" t="n">
        <f aca="false">ROUND(G173*AP173,2)</f>
        <v>0</v>
      </c>
      <c r="AY173" s="87" t="s">
        <v>595</v>
      </c>
      <c r="AZ173" s="87" t="s">
        <v>596</v>
      </c>
      <c r="BA173" s="116" t="s">
        <v>552</v>
      </c>
      <c r="BC173" s="88" t="n">
        <f aca="false">AW173+AX173</f>
        <v>0</v>
      </c>
      <c r="BD173" s="88" t="n">
        <f aca="false">H173/(100-BE173)*100</f>
        <v>0</v>
      </c>
      <c r="BE173" s="88" t="n">
        <v>0</v>
      </c>
      <c r="BF173" s="88" t="n">
        <f aca="false">M173</f>
        <v>0</v>
      </c>
      <c r="BH173" s="88" t="n">
        <f aca="false">G173*AO173</f>
        <v>0</v>
      </c>
      <c r="BI173" s="88" t="n">
        <f aca="false">G173*AP173</f>
        <v>0</v>
      </c>
      <c r="BJ173" s="88" t="n">
        <f aca="false">G173*H173</f>
        <v>0</v>
      </c>
      <c r="BK173" s="87" t="s">
        <v>159</v>
      </c>
      <c r="BL173" s="88"/>
      <c r="BW173" s="88" t="n">
        <v>21</v>
      </c>
      <c r="BX173" s="9" t="s">
        <v>589</v>
      </c>
    </row>
    <row r="174" customFormat="false" ht="15" hidden="false" customHeight="true" outlineLevel="0" collapsed="false">
      <c r="A174" s="128"/>
      <c r="B174" s="129" t="s">
        <v>111</v>
      </c>
      <c r="C174" s="129" t="s">
        <v>601</v>
      </c>
      <c r="D174" s="130" t="s">
        <v>602</v>
      </c>
      <c r="E174" s="130"/>
      <c r="F174" s="128" t="s">
        <v>97</v>
      </c>
      <c r="G174" s="131" t="s">
        <v>97</v>
      </c>
      <c r="H174" s="128"/>
      <c r="I174" s="132" t="n">
        <f aca="false">ROUND(SUM(I175),2)</f>
        <v>0</v>
      </c>
      <c r="J174" s="132" t="n">
        <f aca="false">ROUND(SUM(J175),2)</f>
        <v>0</v>
      </c>
      <c r="K174" s="132" t="n">
        <f aca="false">ROUND(SUM(K175),2)</f>
        <v>0</v>
      </c>
      <c r="L174" s="133"/>
      <c r="M174" s="132" t="n">
        <f aca="false">SUM(M175)</f>
        <v>0</v>
      </c>
      <c r="N174" s="133"/>
      <c r="AI174" s="116" t="s">
        <v>111</v>
      </c>
      <c r="AS174" s="107" t="n">
        <f aca="false">SUM(AJ175)</f>
        <v>0</v>
      </c>
      <c r="AT174" s="107" t="n">
        <f aca="false">SUM(AK175)</f>
        <v>0</v>
      </c>
      <c r="AU174" s="107" t="n">
        <f aca="false">SUM(AL175)</f>
        <v>0</v>
      </c>
    </row>
    <row r="175" customFormat="false" ht="15" hidden="false" customHeight="true" outlineLevel="0" collapsed="false">
      <c r="A175" s="134" t="s">
        <v>603</v>
      </c>
      <c r="B175" s="134" t="s">
        <v>111</v>
      </c>
      <c r="C175" s="134" t="s">
        <v>182</v>
      </c>
      <c r="D175" s="135" t="s">
        <v>183</v>
      </c>
      <c r="E175" s="135"/>
      <c r="F175" s="134" t="s">
        <v>179</v>
      </c>
      <c r="G175" s="136" t="n">
        <v>3.224</v>
      </c>
      <c r="H175" s="137"/>
      <c r="I175" s="137" t="n">
        <f aca="false">ROUND(G175*AO175,2)</f>
        <v>0</v>
      </c>
      <c r="J175" s="137" t="n">
        <f aca="false">ROUND(G175*AP175,2)</f>
        <v>0</v>
      </c>
      <c r="K175" s="137" t="n">
        <f aca="false">ROUND(G175*H175,2)</f>
        <v>0</v>
      </c>
      <c r="L175" s="137" t="n">
        <v>0</v>
      </c>
      <c r="M175" s="137" t="n">
        <f aca="false">G175*L175</f>
        <v>0</v>
      </c>
      <c r="N175" s="138" t="s">
        <v>155</v>
      </c>
      <c r="Z175" s="88" t="n">
        <f aca="false">ROUND(IF(AQ175="5",BJ175,0),2)</f>
        <v>0</v>
      </c>
      <c r="AB175" s="88" t="n">
        <f aca="false">ROUND(IF(AQ175="1",BH175,0),2)</f>
        <v>0</v>
      </c>
      <c r="AC175" s="88" t="n">
        <f aca="false">ROUND(IF(AQ175="1",BI175,0),2)</f>
        <v>0</v>
      </c>
      <c r="AD175" s="88" t="n">
        <f aca="false">ROUND(IF(AQ175="7",BH175,0),2)</f>
        <v>0</v>
      </c>
      <c r="AE175" s="88" t="n">
        <f aca="false">ROUND(IF(AQ175="7",BI175,0),2)</f>
        <v>0</v>
      </c>
      <c r="AF175" s="88" t="n">
        <f aca="false">ROUND(IF(AQ175="2",BH175,0),2)</f>
        <v>0</v>
      </c>
      <c r="AG175" s="88" t="n">
        <f aca="false">ROUND(IF(AQ175="2",BI175,0),2)</f>
        <v>0</v>
      </c>
      <c r="AH175" s="88" t="n">
        <f aca="false">ROUND(IF(AQ175="0",BJ175,0),2)</f>
        <v>0</v>
      </c>
      <c r="AI175" s="116" t="s">
        <v>111</v>
      </c>
      <c r="AJ175" s="88" t="n">
        <f aca="false">IF(AN175=0,K175,0)</f>
        <v>0</v>
      </c>
      <c r="AK175" s="88" t="n">
        <f aca="false">IF(AN175=12,K175,0)</f>
        <v>0</v>
      </c>
      <c r="AL175" s="88" t="n">
        <f aca="false">IF(AN175=21,K175,0)</f>
        <v>0</v>
      </c>
      <c r="AN175" s="88" t="n">
        <v>21</v>
      </c>
      <c r="AO175" s="88" t="n">
        <f aca="false">H175*0</f>
        <v>0</v>
      </c>
      <c r="AP175" s="88" t="n">
        <f aca="false">H175*(1-0)</f>
        <v>0</v>
      </c>
      <c r="AQ175" s="87" t="s">
        <v>170</v>
      </c>
      <c r="AV175" s="88" t="n">
        <f aca="false">ROUND(AW175+AX175,2)</f>
        <v>0</v>
      </c>
      <c r="AW175" s="88" t="n">
        <f aca="false">ROUND(G175*AO175,2)</f>
        <v>0</v>
      </c>
      <c r="AX175" s="88" t="n">
        <f aca="false">ROUND(G175*AP175,2)</f>
        <v>0</v>
      </c>
      <c r="AY175" s="87" t="s">
        <v>604</v>
      </c>
      <c r="AZ175" s="87" t="s">
        <v>605</v>
      </c>
      <c r="BA175" s="116" t="s">
        <v>552</v>
      </c>
      <c r="BC175" s="88" t="n">
        <f aca="false">AW175+AX175</f>
        <v>0</v>
      </c>
      <c r="BD175" s="88" t="n">
        <f aca="false">H175/(100-BE175)*100</f>
        <v>0</v>
      </c>
      <c r="BE175" s="88" t="n">
        <v>0</v>
      </c>
      <c r="BF175" s="88" t="n">
        <f aca="false">M175</f>
        <v>0</v>
      </c>
      <c r="BH175" s="88" t="n">
        <f aca="false">G175*AO175</f>
        <v>0</v>
      </c>
      <c r="BI175" s="88" t="n">
        <f aca="false">G175*AP175</f>
        <v>0</v>
      </c>
      <c r="BJ175" s="88" t="n">
        <f aca="false">G175*H175</f>
        <v>0</v>
      </c>
      <c r="BK175" s="87" t="s">
        <v>159</v>
      </c>
      <c r="BL175" s="88"/>
      <c r="BW175" s="88" t="n">
        <v>21</v>
      </c>
      <c r="BX175" s="9" t="s">
        <v>183</v>
      </c>
    </row>
    <row r="176" customFormat="false" ht="19.85" hidden="false" customHeight="true" outlineLevel="0" collapsed="false">
      <c r="A176" s="98"/>
      <c r="B176" s="162" t="s">
        <v>113</v>
      </c>
      <c r="C176" s="162"/>
      <c r="D176" s="163" t="s">
        <v>75</v>
      </c>
      <c r="E176" s="163"/>
      <c r="F176" s="98" t="s">
        <v>97</v>
      </c>
      <c r="G176" s="164" t="s">
        <v>97</v>
      </c>
      <c r="H176" s="98"/>
      <c r="I176" s="165" t="n">
        <f aca="false">ROUND(SUM(I177),2)</f>
        <v>0</v>
      </c>
      <c r="J176" s="165" t="n">
        <f aca="false">ROUND(SUM(J177),2)</f>
        <v>0</v>
      </c>
      <c r="K176" s="165" t="n">
        <f aca="false">ROUND(SUM(K177),2)</f>
        <v>0</v>
      </c>
      <c r="L176" s="166"/>
      <c r="M176" s="165" t="n">
        <f aca="false">SUM(M177)</f>
        <v>0</v>
      </c>
      <c r="N176" s="166"/>
    </row>
    <row r="177" customFormat="false" ht="23.85" hidden="false" customHeight="true" outlineLevel="0" collapsed="false">
      <c r="A177" s="128"/>
      <c r="B177" s="129" t="s">
        <v>113</v>
      </c>
      <c r="C177" s="129" t="s">
        <v>606</v>
      </c>
      <c r="D177" s="130" t="s">
        <v>607</v>
      </c>
      <c r="E177" s="130"/>
      <c r="F177" s="128" t="s">
        <v>97</v>
      </c>
      <c r="G177" s="131" t="s">
        <v>97</v>
      </c>
      <c r="H177" s="128"/>
      <c r="I177" s="132" t="n">
        <f aca="false">ROUND(SUM(I178:I187),2)</f>
        <v>0</v>
      </c>
      <c r="J177" s="132" t="n">
        <f aca="false">ROUND(SUM(J178:J187),2)</f>
        <v>0</v>
      </c>
      <c r="K177" s="132" t="n">
        <f aca="false">ROUND(SUM(K178:K187),2)</f>
        <v>0</v>
      </c>
      <c r="L177" s="133"/>
      <c r="M177" s="132" t="n">
        <f aca="false">SUM(M178:M187)</f>
        <v>0</v>
      </c>
      <c r="N177" s="133"/>
      <c r="AI177" s="116" t="s">
        <v>113</v>
      </c>
      <c r="AS177" s="107" t="n">
        <f aca="false">SUM(AJ178:AJ187)</f>
        <v>0</v>
      </c>
      <c r="AT177" s="107" t="n">
        <f aca="false">SUM(AK178:AK187)</f>
        <v>0</v>
      </c>
      <c r="AU177" s="107" t="n">
        <f aca="false">SUM(AL178:AL187)</f>
        <v>0</v>
      </c>
    </row>
    <row r="178" customFormat="false" ht="23.85" hidden="false" customHeight="true" outlineLevel="0" collapsed="false">
      <c r="A178" s="134" t="s">
        <v>608</v>
      </c>
      <c r="B178" s="134" t="s">
        <v>113</v>
      </c>
      <c r="C178" s="134" t="s">
        <v>609</v>
      </c>
      <c r="D178" s="135" t="s">
        <v>610</v>
      </c>
      <c r="E178" s="135"/>
      <c r="F178" s="134" t="s">
        <v>163</v>
      </c>
      <c r="G178" s="136" t="n">
        <v>16</v>
      </c>
      <c r="H178" s="137"/>
      <c r="I178" s="137" t="n">
        <f aca="false">ROUND(G178*AO178,2)</f>
        <v>0</v>
      </c>
      <c r="J178" s="137" t="n">
        <f aca="false">ROUND(G178*AP178,2)</f>
        <v>0</v>
      </c>
      <c r="K178" s="137" t="n">
        <f aca="false">ROUND(G178*H178,2)</f>
        <v>0</v>
      </c>
      <c r="L178" s="137" t="n">
        <v>0</v>
      </c>
      <c r="M178" s="137" t="n">
        <f aca="false">G178*L178</f>
        <v>0</v>
      </c>
      <c r="N178" s="138" t="s">
        <v>155</v>
      </c>
      <c r="Z178" s="88" t="n">
        <f aca="false">ROUND(IF(AQ178="5",BJ178,0),2)</f>
        <v>0</v>
      </c>
      <c r="AB178" s="88" t="n">
        <f aca="false">ROUND(IF(AQ178="1",BH178,0),2)</f>
        <v>0</v>
      </c>
      <c r="AC178" s="88" t="n">
        <f aca="false">ROUND(IF(AQ178="1",BI178,0),2)</f>
        <v>0</v>
      </c>
      <c r="AD178" s="88" t="n">
        <f aca="false">ROUND(IF(AQ178="7",BH178,0),2)</f>
        <v>0</v>
      </c>
      <c r="AE178" s="88" t="n">
        <f aca="false">ROUND(IF(AQ178="7",BI178,0),2)</f>
        <v>0</v>
      </c>
      <c r="AF178" s="88" t="n">
        <f aca="false">ROUND(IF(AQ178="2",BH178,0),2)</f>
        <v>0</v>
      </c>
      <c r="AG178" s="88" t="n">
        <f aca="false">ROUND(IF(AQ178="2",BI178,0),2)</f>
        <v>0</v>
      </c>
      <c r="AH178" s="88" t="n">
        <f aca="false">ROUND(IF(AQ178="0",BJ178,0),2)</f>
        <v>0</v>
      </c>
      <c r="AI178" s="116" t="s">
        <v>113</v>
      </c>
      <c r="AJ178" s="88" t="n">
        <f aca="false">IF(AN178=0,K178,0)</f>
        <v>0</v>
      </c>
      <c r="AK178" s="88" t="n">
        <f aca="false">IF(AN178=12,K178,0)</f>
        <v>0</v>
      </c>
      <c r="AL178" s="88" t="n">
        <f aca="false">IF(AN178=21,K178,0)</f>
        <v>0</v>
      </c>
      <c r="AN178" s="88" t="n">
        <v>21</v>
      </c>
      <c r="AO178" s="88" t="n">
        <f aca="false">H178*0</f>
        <v>0</v>
      </c>
      <c r="AP178" s="88" t="n">
        <f aca="false">H178*(1-0)</f>
        <v>0</v>
      </c>
      <c r="AQ178" s="87" t="s">
        <v>160</v>
      </c>
      <c r="AV178" s="88" t="n">
        <f aca="false">ROUND(AW178+AX178,2)</f>
        <v>0</v>
      </c>
      <c r="AW178" s="88" t="n">
        <f aca="false">ROUND(G178*AO178,2)</f>
        <v>0</v>
      </c>
      <c r="AX178" s="88" t="n">
        <f aca="false">ROUND(G178*AP178,2)</f>
        <v>0</v>
      </c>
      <c r="AY178" s="87" t="s">
        <v>611</v>
      </c>
      <c r="AZ178" s="87" t="s">
        <v>612</v>
      </c>
      <c r="BA178" s="116" t="s">
        <v>613</v>
      </c>
      <c r="BC178" s="88" t="n">
        <f aca="false">AW178+AX178</f>
        <v>0</v>
      </c>
      <c r="BD178" s="88" t="n">
        <f aca="false">H178/(100-BE178)*100</f>
        <v>0</v>
      </c>
      <c r="BE178" s="88" t="n">
        <v>0</v>
      </c>
      <c r="BF178" s="88" t="n">
        <f aca="false">M178</f>
        <v>0</v>
      </c>
      <c r="BH178" s="88" t="n">
        <f aca="false">G178*AO178</f>
        <v>0</v>
      </c>
      <c r="BI178" s="88" t="n">
        <f aca="false">G178*AP178</f>
        <v>0</v>
      </c>
      <c r="BJ178" s="88" t="n">
        <f aca="false">G178*H178</f>
        <v>0</v>
      </c>
      <c r="BK178" s="87" t="s">
        <v>159</v>
      </c>
      <c r="BL178" s="88"/>
      <c r="BW178" s="88" t="n">
        <v>21</v>
      </c>
      <c r="BX178" s="9" t="s">
        <v>610</v>
      </c>
    </row>
    <row r="179" customFormat="false" ht="15" hidden="false" customHeight="true" outlineLevel="0" collapsed="false">
      <c r="A179" s="134" t="s">
        <v>614</v>
      </c>
      <c r="B179" s="134" t="s">
        <v>113</v>
      </c>
      <c r="C179" s="134" t="s">
        <v>609</v>
      </c>
      <c r="D179" s="135" t="s">
        <v>615</v>
      </c>
      <c r="E179" s="135"/>
      <c r="F179" s="134" t="s">
        <v>163</v>
      </c>
      <c r="G179" s="136" t="n">
        <v>25</v>
      </c>
      <c r="H179" s="137"/>
      <c r="I179" s="137" t="n">
        <f aca="false">ROUND(G179*AO179,2)</f>
        <v>0</v>
      </c>
      <c r="J179" s="137" t="n">
        <f aca="false">ROUND(G179*AP179,2)</f>
        <v>0</v>
      </c>
      <c r="K179" s="137" t="n">
        <f aca="false">ROUND(G179*H179,2)</f>
        <v>0</v>
      </c>
      <c r="L179" s="137" t="n">
        <v>0</v>
      </c>
      <c r="M179" s="137" t="n">
        <f aca="false">G179*L179</f>
        <v>0</v>
      </c>
      <c r="N179" s="138" t="s">
        <v>155</v>
      </c>
      <c r="Z179" s="88" t="n">
        <f aca="false">ROUND(IF(AQ179="5",BJ179,0),2)</f>
        <v>0</v>
      </c>
      <c r="AB179" s="88" t="n">
        <f aca="false">ROUND(IF(AQ179="1",BH179,0),2)</f>
        <v>0</v>
      </c>
      <c r="AC179" s="88" t="n">
        <f aca="false">ROUND(IF(AQ179="1",BI179,0),2)</f>
        <v>0</v>
      </c>
      <c r="AD179" s="88" t="n">
        <f aca="false">ROUND(IF(AQ179="7",BH179,0),2)</f>
        <v>0</v>
      </c>
      <c r="AE179" s="88" t="n">
        <f aca="false">ROUND(IF(AQ179="7",BI179,0),2)</f>
        <v>0</v>
      </c>
      <c r="AF179" s="88" t="n">
        <f aca="false">ROUND(IF(AQ179="2",BH179,0),2)</f>
        <v>0</v>
      </c>
      <c r="AG179" s="88" t="n">
        <f aca="false">ROUND(IF(AQ179="2",BI179,0),2)</f>
        <v>0</v>
      </c>
      <c r="AH179" s="88" t="n">
        <f aca="false">ROUND(IF(AQ179="0",BJ179,0),2)</f>
        <v>0</v>
      </c>
      <c r="AI179" s="116" t="s">
        <v>113</v>
      </c>
      <c r="AJ179" s="88" t="n">
        <f aca="false">IF(AN179=0,K179,0)</f>
        <v>0</v>
      </c>
      <c r="AK179" s="88" t="n">
        <f aca="false">IF(AN179=12,K179,0)</f>
        <v>0</v>
      </c>
      <c r="AL179" s="88" t="n">
        <f aca="false">IF(AN179=21,K179,0)</f>
        <v>0</v>
      </c>
      <c r="AN179" s="88" t="n">
        <v>21</v>
      </c>
      <c r="AO179" s="88" t="n">
        <f aca="false">H179*0</f>
        <v>0</v>
      </c>
      <c r="AP179" s="88" t="n">
        <f aca="false">H179*(1-0)</f>
        <v>0</v>
      </c>
      <c r="AQ179" s="87" t="s">
        <v>160</v>
      </c>
      <c r="AV179" s="88" t="n">
        <f aca="false">ROUND(AW179+AX179,2)</f>
        <v>0</v>
      </c>
      <c r="AW179" s="88" t="n">
        <f aca="false">ROUND(G179*AO179,2)</f>
        <v>0</v>
      </c>
      <c r="AX179" s="88" t="n">
        <f aca="false">ROUND(G179*AP179,2)</f>
        <v>0</v>
      </c>
      <c r="AY179" s="87" t="s">
        <v>611</v>
      </c>
      <c r="AZ179" s="87" t="s">
        <v>612</v>
      </c>
      <c r="BA179" s="116" t="s">
        <v>613</v>
      </c>
      <c r="BC179" s="88" t="n">
        <f aca="false">AW179+AX179</f>
        <v>0</v>
      </c>
      <c r="BD179" s="88" t="n">
        <f aca="false">H179/(100-BE179)*100</f>
        <v>0</v>
      </c>
      <c r="BE179" s="88" t="n">
        <v>0</v>
      </c>
      <c r="BF179" s="88" t="n">
        <f aca="false">M179</f>
        <v>0</v>
      </c>
      <c r="BH179" s="88" t="n">
        <f aca="false">G179*AO179</f>
        <v>0</v>
      </c>
      <c r="BI179" s="88" t="n">
        <f aca="false">G179*AP179</f>
        <v>0</v>
      </c>
      <c r="BJ179" s="88" t="n">
        <f aca="false">G179*H179</f>
        <v>0</v>
      </c>
      <c r="BK179" s="87" t="s">
        <v>159</v>
      </c>
      <c r="BL179" s="88"/>
      <c r="BW179" s="88" t="n">
        <v>21</v>
      </c>
      <c r="BX179" s="9" t="s">
        <v>615</v>
      </c>
    </row>
    <row r="180" customFormat="false" ht="15" hidden="false" customHeight="true" outlineLevel="0" collapsed="false">
      <c r="A180" s="134" t="s">
        <v>616</v>
      </c>
      <c r="B180" s="134" t="s">
        <v>113</v>
      </c>
      <c r="C180" s="134" t="s">
        <v>609</v>
      </c>
      <c r="D180" s="135" t="s">
        <v>617</v>
      </c>
      <c r="E180" s="135"/>
      <c r="F180" s="134" t="s">
        <v>163</v>
      </c>
      <c r="G180" s="136" t="n">
        <v>3</v>
      </c>
      <c r="H180" s="137"/>
      <c r="I180" s="137" t="n">
        <f aca="false">ROUND(G180*AO180,2)</f>
        <v>0</v>
      </c>
      <c r="J180" s="137" t="n">
        <f aca="false">ROUND(G180*AP180,2)</f>
        <v>0</v>
      </c>
      <c r="K180" s="137" t="n">
        <f aca="false">ROUND(G180*H180,2)</f>
        <v>0</v>
      </c>
      <c r="L180" s="137" t="n">
        <v>0</v>
      </c>
      <c r="M180" s="137" t="n">
        <f aca="false">G180*L180</f>
        <v>0</v>
      </c>
      <c r="N180" s="138" t="s">
        <v>155</v>
      </c>
      <c r="Z180" s="88" t="n">
        <f aca="false">ROUND(IF(AQ180="5",BJ180,0),2)</f>
        <v>0</v>
      </c>
      <c r="AB180" s="88" t="n">
        <f aca="false">ROUND(IF(AQ180="1",BH180,0),2)</f>
        <v>0</v>
      </c>
      <c r="AC180" s="88" t="n">
        <f aca="false">ROUND(IF(AQ180="1",BI180,0),2)</f>
        <v>0</v>
      </c>
      <c r="AD180" s="88" t="n">
        <f aca="false">ROUND(IF(AQ180="7",BH180,0),2)</f>
        <v>0</v>
      </c>
      <c r="AE180" s="88" t="n">
        <f aca="false">ROUND(IF(AQ180="7",BI180,0),2)</f>
        <v>0</v>
      </c>
      <c r="AF180" s="88" t="n">
        <f aca="false">ROUND(IF(AQ180="2",BH180,0),2)</f>
        <v>0</v>
      </c>
      <c r="AG180" s="88" t="n">
        <f aca="false">ROUND(IF(AQ180="2",BI180,0),2)</f>
        <v>0</v>
      </c>
      <c r="AH180" s="88" t="n">
        <f aca="false">ROUND(IF(AQ180="0",BJ180,0),2)</f>
        <v>0</v>
      </c>
      <c r="AI180" s="116" t="s">
        <v>113</v>
      </c>
      <c r="AJ180" s="88" t="n">
        <f aca="false">IF(AN180=0,K180,0)</f>
        <v>0</v>
      </c>
      <c r="AK180" s="88" t="n">
        <f aca="false">IF(AN180=12,K180,0)</f>
        <v>0</v>
      </c>
      <c r="AL180" s="88" t="n">
        <f aca="false">IF(AN180=21,K180,0)</f>
        <v>0</v>
      </c>
      <c r="AN180" s="88" t="n">
        <v>21</v>
      </c>
      <c r="AO180" s="88" t="n">
        <f aca="false">H180*0</f>
        <v>0</v>
      </c>
      <c r="AP180" s="88" t="n">
        <f aca="false">H180*(1-0)</f>
        <v>0</v>
      </c>
      <c r="AQ180" s="87" t="s">
        <v>160</v>
      </c>
      <c r="AV180" s="88" t="n">
        <f aca="false">ROUND(AW180+AX180,2)</f>
        <v>0</v>
      </c>
      <c r="AW180" s="88" t="n">
        <f aca="false">ROUND(G180*AO180,2)</f>
        <v>0</v>
      </c>
      <c r="AX180" s="88" t="n">
        <f aca="false">ROUND(G180*AP180,2)</f>
        <v>0</v>
      </c>
      <c r="AY180" s="87" t="s">
        <v>611</v>
      </c>
      <c r="AZ180" s="87" t="s">
        <v>612</v>
      </c>
      <c r="BA180" s="116" t="s">
        <v>613</v>
      </c>
      <c r="BC180" s="88" t="n">
        <f aca="false">AW180+AX180</f>
        <v>0</v>
      </c>
      <c r="BD180" s="88" t="n">
        <f aca="false">H180/(100-BE180)*100</f>
        <v>0</v>
      </c>
      <c r="BE180" s="88" t="n">
        <v>0</v>
      </c>
      <c r="BF180" s="88" t="n">
        <f aca="false">M180</f>
        <v>0</v>
      </c>
      <c r="BH180" s="88" t="n">
        <f aca="false">G180*AO180</f>
        <v>0</v>
      </c>
      <c r="BI180" s="88" t="n">
        <f aca="false">G180*AP180</f>
        <v>0</v>
      </c>
      <c r="BJ180" s="88" t="n">
        <f aca="false">G180*H180</f>
        <v>0</v>
      </c>
      <c r="BK180" s="87" t="s">
        <v>159</v>
      </c>
      <c r="BL180" s="88"/>
      <c r="BW180" s="88" t="n">
        <v>21</v>
      </c>
      <c r="BX180" s="9" t="s">
        <v>617</v>
      </c>
    </row>
    <row r="181" customFormat="false" ht="15" hidden="false" customHeight="true" outlineLevel="0" collapsed="false">
      <c r="A181" s="134" t="s">
        <v>618</v>
      </c>
      <c r="B181" s="134" t="s">
        <v>113</v>
      </c>
      <c r="C181" s="134" t="s">
        <v>609</v>
      </c>
      <c r="D181" s="135" t="s">
        <v>619</v>
      </c>
      <c r="E181" s="135"/>
      <c r="F181" s="134" t="s">
        <v>163</v>
      </c>
      <c r="G181" s="136" t="n">
        <v>20</v>
      </c>
      <c r="H181" s="137"/>
      <c r="I181" s="137" t="n">
        <f aca="false">ROUND(G181*AO181,2)</f>
        <v>0</v>
      </c>
      <c r="J181" s="137" t="n">
        <f aca="false">ROUND(G181*AP181,2)</f>
        <v>0</v>
      </c>
      <c r="K181" s="137" t="n">
        <f aca="false">ROUND(G181*H181,2)</f>
        <v>0</v>
      </c>
      <c r="L181" s="137" t="n">
        <v>0</v>
      </c>
      <c r="M181" s="137" t="n">
        <f aca="false">G181*L181</f>
        <v>0</v>
      </c>
      <c r="N181" s="138" t="s">
        <v>155</v>
      </c>
      <c r="Z181" s="88" t="n">
        <f aca="false">ROUND(IF(AQ181="5",BJ181,0),2)</f>
        <v>0</v>
      </c>
      <c r="AB181" s="88" t="n">
        <f aca="false">ROUND(IF(AQ181="1",BH181,0),2)</f>
        <v>0</v>
      </c>
      <c r="AC181" s="88" t="n">
        <f aca="false">ROUND(IF(AQ181="1",BI181,0),2)</f>
        <v>0</v>
      </c>
      <c r="AD181" s="88" t="n">
        <f aca="false">ROUND(IF(AQ181="7",BH181,0),2)</f>
        <v>0</v>
      </c>
      <c r="AE181" s="88" t="n">
        <f aca="false">ROUND(IF(AQ181="7",BI181,0),2)</f>
        <v>0</v>
      </c>
      <c r="AF181" s="88" t="n">
        <f aca="false">ROUND(IF(AQ181="2",BH181,0),2)</f>
        <v>0</v>
      </c>
      <c r="AG181" s="88" t="n">
        <f aca="false">ROUND(IF(AQ181="2",BI181,0),2)</f>
        <v>0</v>
      </c>
      <c r="AH181" s="88" t="n">
        <f aca="false">ROUND(IF(AQ181="0",BJ181,0),2)</f>
        <v>0</v>
      </c>
      <c r="AI181" s="116" t="s">
        <v>113</v>
      </c>
      <c r="AJ181" s="88" t="n">
        <f aca="false">IF(AN181=0,K181,0)</f>
        <v>0</v>
      </c>
      <c r="AK181" s="88" t="n">
        <f aca="false">IF(AN181=12,K181,0)</f>
        <v>0</v>
      </c>
      <c r="AL181" s="88" t="n">
        <f aca="false">IF(AN181=21,K181,0)</f>
        <v>0</v>
      </c>
      <c r="AN181" s="88" t="n">
        <v>21</v>
      </c>
      <c r="AO181" s="88" t="n">
        <f aca="false">H181*0</f>
        <v>0</v>
      </c>
      <c r="AP181" s="88" t="n">
        <f aca="false">H181*(1-0)</f>
        <v>0</v>
      </c>
      <c r="AQ181" s="87" t="s">
        <v>160</v>
      </c>
      <c r="AV181" s="88" t="n">
        <f aca="false">ROUND(AW181+AX181,2)</f>
        <v>0</v>
      </c>
      <c r="AW181" s="88" t="n">
        <f aca="false">ROUND(G181*AO181,2)</f>
        <v>0</v>
      </c>
      <c r="AX181" s="88" t="n">
        <f aca="false">ROUND(G181*AP181,2)</f>
        <v>0</v>
      </c>
      <c r="AY181" s="87" t="s">
        <v>611</v>
      </c>
      <c r="AZ181" s="87" t="s">
        <v>612</v>
      </c>
      <c r="BA181" s="116" t="s">
        <v>613</v>
      </c>
      <c r="BC181" s="88" t="n">
        <f aca="false">AW181+AX181</f>
        <v>0</v>
      </c>
      <c r="BD181" s="88" t="n">
        <f aca="false">H181/(100-BE181)*100</f>
        <v>0</v>
      </c>
      <c r="BE181" s="88" t="n">
        <v>0</v>
      </c>
      <c r="BF181" s="88" t="n">
        <f aca="false">M181</f>
        <v>0</v>
      </c>
      <c r="BH181" s="88" t="n">
        <f aca="false">G181*AO181</f>
        <v>0</v>
      </c>
      <c r="BI181" s="88" t="n">
        <f aca="false">G181*AP181</f>
        <v>0</v>
      </c>
      <c r="BJ181" s="88" t="n">
        <f aca="false">G181*H181</f>
        <v>0</v>
      </c>
      <c r="BK181" s="87" t="s">
        <v>159</v>
      </c>
      <c r="BL181" s="88"/>
      <c r="BW181" s="88" t="n">
        <v>21</v>
      </c>
      <c r="BX181" s="9" t="s">
        <v>619</v>
      </c>
    </row>
    <row r="182" customFormat="false" ht="23.85" hidden="false" customHeight="true" outlineLevel="0" collapsed="false">
      <c r="A182" s="134" t="s">
        <v>620</v>
      </c>
      <c r="B182" s="134" t="s">
        <v>113</v>
      </c>
      <c r="C182" s="134" t="s">
        <v>609</v>
      </c>
      <c r="D182" s="135" t="s">
        <v>621</v>
      </c>
      <c r="E182" s="135"/>
      <c r="F182" s="134" t="s">
        <v>163</v>
      </c>
      <c r="G182" s="136" t="n">
        <v>10</v>
      </c>
      <c r="H182" s="137"/>
      <c r="I182" s="137" t="n">
        <f aca="false">ROUND(G182*AO182,2)</f>
        <v>0</v>
      </c>
      <c r="J182" s="137" t="n">
        <f aca="false">ROUND(G182*AP182,2)</f>
        <v>0</v>
      </c>
      <c r="K182" s="137" t="n">
        <f aca="false">ROUND(G182*H182,2)</f>
        <v>0</v>
      </c>
      <c r="L182" s="137" t="n">
        <v>0</v>
      </c>
      <c r="M182" s="137" t="n">
        <f aca="false">G182*L182</f>
        <v>0</v>
      </c>
      <c r="N182" s="138" t="s">
        <v>155</v>
      </c>
      <c r="Z182" s="88" t="n">
        <f aca="false">ROUND(IF(AQ182="5",BJ182,0),2)</f>
        <v>0</v>
      </c>
      <c r="AB182" s="88" t="n">
        <f aca="false">ROUND(IF(AQ182="1",BH182,0),2)</f>
        <v>0</v>
      </c>
      <c r="AC182" s="88" t="n">
        <f aca="false">ROUND(IF(AQ182="1",BI182,0),2)</f>
        <v>0</v>
      </c>
      <c r="AD182" s="88" t="n">
        <f aca="false">ROUND(IF(AQ182="7",BH182,0),2)</f>
        <v>0</v>
      </c>
      <c r="AE182" s="88" t="n">
        <f aca="false">ROUND(IF(AQ182="7",BI182,0),2)</f>
        <v>0</v>
      </c>
      <c r="AF182" s="88" t="n">
        <f aca="false">ROUND(IF(AQ182="2",BH182,0),2)</f>
        <v>0</v>
      </c>
      <c r="AG182" s="88" t="n">
        <f aca="false">ROUND(IF(AQ182="2",BI182,0),2)</f>
        <v>0</v>
      </c>
      <c r="AH182" s="88" t="n">
        <f aca="false">ROUND(IF(AQ182="0",BJ182,0),2)</f>
        <v>0</v>
      </c>
      <c r="AI182" s="116" t="s">
        <v>113</v>
      </c>
      <c r="AJ182" s="88" t="n">
        <f aca="false">IF(AN182=0,K182,0)</f>
        <v>0</v>
      </c>
      <c r="AK182" s="88" t="n">
        <f aca="false">IF(AN182=12,K182,0)</f>
        <v>0</v>
      </c>
      <c r="AL182" s="88" t="n">
        <f aca="false">IF(AN182=21,K182,0)</f>
        <v>0</v>
      </c>
      <c r="AN182" s="88" t="n">
        <v>21</v>
      </c>
      <c r="AO182" s="88" t="n">
        <f aca="false">H182*0</f>
        <v>0</v>
      </c>
      <c r="AP182" s="88" t="n">
        <f aca="false">H182*(1-0)</f>
        <v>0</v>
      </c>
      <c r="AQ182" s="87" t="s">
        <v>160</v>
      </c>
      <c r="AV182" s="88" t="n">
        <f aca="false">ROUND(AW182+AX182,2)</f>
        <v>0</v>
      </c>
      <c r="AW182" s="88" t="n">
        <f aca="false">ROUND(G182*AO182,2)</f>
        <v>0</v>
      </c>
      <c r="AX182" s="88" t="n">
        <f aca="false">ROUND(G182*AP182,2)</f>
        <v>0</v>
      </c>
      <c r="AY182" s="87" t="s">
        <v>611</v>
      </c>
      <c r="AZ182" s="87" t="s">
        <v>612</v>
      </c>
      <c r="BA182" s="116" t="s">
        <v>613</v>
      </c>
      <c r="BC182" s="88" t="n">
        <f aca="false">AW182+AX182</f>
        <v>0</v>
      </c>
      <c r="BD182" s="88" t="n">
        <f aca="false">H182/(100-BE182)*100</f>
        <v>0</v>
      </c>
      <c r="BE182" s="88" t="n">
        <v>0</v>
      </c>
      <c r="BF182" s="88" t="n">
        <f aca="false">M182</f>
        <v>0</v>
      </c>
      <c r="BH182" s="88" t="n">
        <f aca="false">G182*AO182</f>
        <v>0</v>
      </c>
      <c r="BI182" s="88" t="n">
        <f aca="false">G182*AP182</f>
        <v>0</v>
      </c>
      <c r="BJ182" s="88" t="n">
        <f aca="false">G182*H182</f>
        <v>0</v>
      </c>
      <c r="BK182" s="87" t="s">
        <v>159</v>
      </c>
      <c r="BL182" s="88"/>
      <c r="BW182" s="88" t="n">
        <v>21</v>
      </c>
      <c r="BX182" s="9" t="s">
        <v>621</v>
      </c>
    </row>
    <row r="183" customFormat="false" ht="15" hidden="false" customHeight="true" outlineLevel="0" collapsed="false">
      <c r="A183" s="134" t="s">
        <v>622</v>
      </c>
      <c r="B183" s="134" t="s">
        <v>113</v>
      </c>
      <c r="C183" s="134" t="s">
        <v>609</v>
      </c>
      <c r="D183" s="135" t="s">
        <v>623</v>
      </c>
      <c r="E183" s="135"/>
      <c r="F183" s="134" t="s">
        <v>163</v>
      </c>
      <c r="G183" s="136" t="n">
        <v>5</v>
      </c>
      <c r="H183" s="137"/>
      <c r="I183" s="137" t="n">
        <f aca="false">ROUND(G183*AO183,2)</f>
        <v>0</v>
      </c>
      <c r="J183" s="137" t="n">
        <f aca="false">ROUND(G183*AP183,2)</f>
        <v>0</v>
      </c>
      <c r="K183" s="137" t="n">
        <f aca="false">ROUND(G183*H183,2)</f>
        <v>0</v>
      </c>
      <c r="L183" s="137" t="n">
        <v>0</v>
      </c>
      <c r="M183" s="137" t="n">
        <f aca="false">G183*L183</f>
        <v>0</v>
      </c>
      <c r="N183" s="138" t="s">
        <v>155</v>
      </c>
      <c r="Z183" s="88" t="n">
        <f aca="false">ROUND(IF(AQ183="5",BJ183,0),2)</f>
        <v>0</v>
      </c>
      <c r="AB183" s="88" t="n">
        <f aca="false">ROUND(IF(AQ183="1",BH183,0),2)</f>
        <v>0</v>
      </c>
      <c r="AC183" s="88" t="n">
        <f aca="false">ROUND(IF(AQ183="1",BI183,0),2)</f>
        <v>0</v>
      </c>
      <c r="AD183" s="88" t="n">
        <f aca="false">ROUND(IF(AQ183="7",BH183,0),2)</f>
        <v>0</v>
      </c>
      <c r="AE183" s="88" t="n">
        <f aca="false">ROUND(IF(AQ183="7",BI183,0),2)</f>
        <v>0</v>
      </c>
      <c r="AF183" s="88" t="n">
        <f aca="false">ROUND(IF(AQ183="2",BH183,0),2)</f>
        <v>0</v>
      </c>
      <c r="AG183" s="88" t="n">
        <f aca="false">ROUND(IF(AQ183="2",BI183,0),2)</f>
        <v>0</v>
      </c>
      <c r="AH183" s="88" t="n">
        <f aca="false">ROUND(IF(AQ183="0",BJ183,0),2)</f>
        <v>0</v>
      </c>
      <c r="AI183" s="116" t="s">
        <v>113</v>
      </c>
      <c r="AJ183" s="88" t="n">
        <f aca="false">IF(AN183=0,K183,0)</f>
        <v>0</v>
      </c>
      <c r="AK183" s="88" t="n">
        <f aca="false">IF(AN183=12,K183,0)</f>
        <v>0</v>
      </c>
      <c r="AL183" s="88" t="n">
        <f aca="false">IF(AN183=21,K183,0)</f>
        <v>0</v>
      </c>
      <c r="AN183" s="88" t="n">
        <v>21</v>
      </c>
      <c r="AO183" s="88" t="n">
        <f aca="false">H183*0</f>
        <v>0</v>
      </c>
      <c r="AP183" s="88" t="n">
        <f aca="false">H183*(1-0)</f>
        <v>0</v>
      </c>
      <c r="AQ183" s="87" t="s">
        <v>160</v>
      </c>
      <c r="AV183" s="88" t="n">
        <f aca="false">ROUND(AW183+AX183,2)</f>
        <v>0</v>
      </c>
      <c r="AW183" s="88" t="n">
        <f aca="false">ROUND(G183*AO183,2)</f>
        <v>0</v>
      </c>
      <c r="AX183" s="88" t="n">
        <f aca="false">ROUND(G183*AP183,2)</f>
        <v>0</v>
      </c>
      <c r="AY183" s="87" t="s">
        <v>611</v>
      </c>
      <c r="AZ183" s="87" t="s">
        <v>612</v>
      </c>
      <c r="BA183" s="116" t="s">
        <v>613</v>
      </c>
      <c r="BC183" s="88" t="n">
        <f aca="false">AW183+AX183</f>
        <v>0</v>
      </c>
      <c r="BD183" s="88" t="n">
        <f aca="false">H183/(100-BE183)*100</f>
        <v>0</v>
      </c>
      <c r="BE183" s="88" t="n">
        <v>0</v>
      </c>
      <c r="BF183" s="88" t="n">
        <f aca="false">M183</f>
        <v>0</v>
      </c>
      <c r="BH183" s="88" t="n">
        <f aca="false">G183*AO183</f>
        <v>0</v>
      </c>
      <c r="BI183" s="88" t="n">
        <f aca="false">G183*AP183</f>
        <v>0</v>
      </c>
      <c r="BJ183" s="88" t="n">
        <f aca="false">G183*H183</f>
        <v>0</v>
      </c>
      <c r="BK183" s="87" t="s">
        <v>159</v>
      </c>
      <c r="BL183" s="88"/>
      <c r="BW183" s="88" t="n">
        <v>21</v>
      </c>
      <c r="BX183" s="9" t="s">
        <v>623</v>
      </c>
    </row>
    <row r="184" customFormat="false" ht="23.85" hidden="false" customHeight="true" outlineLevel="0" collapsed="false">
      <c r="A184" s="134" t="s">
        <v>624</v>
      </c>
      <c r="B184" s="134" t="s">
        <v>113</v>
      </c>
      <c r="C184" s="134" t="s">
        <v>609</v>
      </c>
      <c r="D184" s="135" t="s">
        <v>625</v>
      </c>
      <c r="E184" s="135"/>
      <c r="F184" s="134" t="s">
        <v>163</v>
      </c>
      <c r="G184" s="136" t="n">
        <v>15</v>
      </c>
      <c r="H184" s="137"/>
      <c r="I184" s="137" t="n">
        <f aca="false">ROUND(G184*AO184,2)</f>
        <v>0</v>
      </c>
      <c r="J184" s="137" t="n">
        <f aca="false">ROUND(G184*AP184,2)</f>
        <v>0</v>
      </c>
      <c r="K184" s="137" t="n">
        <f aca="false">ROUND(G184*H184,2)</f>
        <v>0</v>
      </c>
      <c r="L184" s="137" t="n">
        <v>0</v>
      </c>
      <c r="M184" s="137" t="n">
        <f aca="false">G184*L184</f>
        <v>0</v>
      </c>
      <c r="N184" s="138" t="s">
        <v>155</v>
      </c>
      <c r="Z184" s="88" t="n">
        <f aca="false">ROUND(IF(AQ184="5",BJ184,0),2)</f>
        <v>0</v>
      </c>
      <c r="AB184" s="88" t="n">
        <f aca="false">ROUND(IF(AQ184="1",BH184,0),2)</f>
        <v>0</v>
      </c>
      <c r="AC184" s="88" t="n">
        <f aca="false">ROUND(IF(AQ184="1",BI184,0),2)</f>
        <v>0</v>
      </c>
      <c r="AD184" s="88" t="n">
        <f aca="false">ROUND(IF(AQ184="7",BH184,0),2)</f>
        <v>0</v>
      </c>
      <c r="AE184" s="88" t="n">
        <f aca="false">ROUND(IF(AQ184="7",BI184,0),2)</f>
        <v>0</v>
      </c>
      <c r="AF184" s="88" t="n">
        <f aca="false">ROUND(IF(AQ184="2",BH184,0),2)</f>
        <v>0</v>
      </c>
      <c r="AG184" s="88" t="n">
        <f aca="false">ROUND(IF(AQ184="2",BI184,0),2)</f>
        <v>0</v>
      </c>
      <c r="AH184" s="88" t="n">
        <f aca="false">ROUND(IF(AQ184="0",BJ184,0),2)</f>
        <v>0</v>
      </c>
      <c r="AI184" s="116" t="s">
        <v>113</v>
      </c>
      <c r="AJ184" s="88" t="n">
        <f aca="false">IF(AN184=0,K184,0)</f>
        <v>0</v>
      </c>
      <c r="AK184" s="88" t="n">
        <f aca="false">IF(AN184=12,K184,0)</f>
        <v>0</v>
      </c>
      <c r="AL184" s="88" t="n">
        <f aca="false">IF(AN184=21,K184,0)</f>
        <v>0</v>
      </c>
      <c r="AN184" s="88" t="n">
        <v>21</v>
      </c>
      <c r="AO184" s="88" t="n">
        <f aca="false">H184*0</f>
        <v>0</v>
      </c>
      <c r="AP184" s="88" t="n">
        <f aca="false">H184*(1-0)</f>
        <v>0</v>
      </c>
      <c r="AQ184" s="87" t="s">
        <v>160</v>
      </c>
      <c r="AV184" s="88" t="n">
        <f aca="false">ROUND(AW184+AX184,2)</f>
        <v>0</v>
      </c>
      <c r="AW184" s="88" t="n">
        <f aca="false">ROUND(G184*AO184,2)</f>
        <v>0</v>
      </c>
      <c r="AX184" s="88" t="n">
        <f aca="false">ROUND(G184*AP184,2)</f>
        <v>0</v>
      </c>
      <c r="AY184" s="87" t="s">
        <v>611</v>
      </c>
      <c r="AZ184" s="87" t="s">
        <v>612</v>
      </c>
      <c r="BA184" s="116" t="s">
        <v>613</v>
      </c>
      <c r="BC184" s="88" t="n">
        <f aca="false">AW184+AX184</f>
        <v>0</v>
      </c>
      <c r="BD184" s="88" t="n">
        <f aca="false">H184/(100-BE184)*100</f>
        <v>0</v>
      </c>
      <c r="BE184" s="88" t="n">
        <v>0</v>
      </c>
      <c r="BF184" s="88" t="n">
        <f aca="false">M184</f>
        <v>0</v>
      </c>
      <c r="BH184" s="88" t="n">
        <f aca="false">G184*AO184</f>
        <v>0</v>
      </c>
      <c r="BI184" s="88" t="n">
        <f aca="false">G184*AP184</f>
        <v>0</v>
      </c>
      <c r="BJ184" s="88" t="n">
        <f aca="false">G184*H184</f>
        <v>0</v>
      </c>
      <c r="BK184" s="87" t="s">
        <v>159</v>
      </c>
      <c r="BL184" s="88"/>
      <c r="BW184" s="88" t="n">
        <v>21</v>
      </c>
      <c r="BX184" s="9" t="s">
        <v>625</v>
      </c>
    </row>
    <row r="185" customFormat="false" ht="23.85" hidden="false" customHeight="true" outlineLevel="0" collapsed="false">
      <c r="A185" s="134" t="s">
        <v>626</v>
      </c>
      <c r="B185" s="134" t="s">
        <v>113</v>
      </c>
      <c r="C185" s="134" t="s">
        <v>627</v>
      </c>
      <c r="D185" s="135" t="s">
        <v>628</v>
      </c>
      <c r="E185" s="135"/>
      <c r="F185" s="134" t="s">
        <v>79</v>
      </c>
      <c r="G185" s="136" t="n">
        <f aca="false">SUM('Rozpočet - objekty'!K12:K15)/100</f>
        <v>0</v>
      </c>
      <c r="H185" s="137"/>
      <c r="I185" s="137" t="n">
        <f aca="false">ROUND(G185*AO185,2)</f>
        <v>0</v>
      </c>
      <c r="J185" s="137" t="n">
        <f aca="false">ROUND(G185*AP185,2)</f>
        <v>0</v>
      </c>
      <c r="K185" s="137" t="n">
        <f aca="false">ROUND(G185*H185,2)</f>
        <v>0</v>
      </c>
      <c r="L185" s="137" t="n">
        <v>0</v>
      </c>
      <c r="M185" s="137" t="n">
        <f aca="false">G185*L185</f>
        <v>0</v>
      </c>
      <c r="N185" s="138"/>
      <c r="Z185" s="88" t="n">
        <f aca="false">ROUND(IF(AQ185="5",BJ185,0),2)</f>
        <v>0</v>
      </c>
      <c r="AB185" s="88" t="n">
        <f aca="false">ROUND(IF(AQ185="1",BH185,0),2)</f>
        <v>0</v>
      </c>
      <c r="AC185" s="88" t="n">
        <f aca="false">ROUND(IF(AQ185="1",BI185,0),2)</f>
        <v>0</v>
      </c>
      <c r="AD185" s="88" t="n">
        <f aca="false">ROUND(IF(AQ185="7",BH185,0),2)</f>
        <v>0</v>
      </c>
      <c r="AE185" s="88" t="n">
        <f aca="false">ROUND(IF(AQ185="7",BI185,0),2)</f>
        <v>0</v>
      </c>
      <c r="AF185" s="88" t="n">
        <f aca="false">ROUND(IF(AQ185="2",BH185,0),2)</f>
        <v>0</v>
      </c>
      <c r="AG185" s="88" t="n">
        <f aca="false">ROUND(IF(AQ185="2",BI185,0),2)</f>
        <v>0</v>
      </c>
      <c r="AH185" s="88" t="n">
        <f aca="false">ROUND(IF(AQ185="0",BJ185,0),2)</f>
        <v>0</v>
      </c>
      <c r="AI185" s="116" t="s">
        <v>113</v>
      </c>
      <c r="AJ185" s="88" t="n">
        <f aca="false">IF(AN185=0,K185,0)</f>
        <v>0</v>
      </c>
      <c r="AK185" s="88" t="n">
        <f aca="false">IF(AN185=12,K185,0)</f>
        <v>0</v>
      </c>
      <c r="AL185" s="88" t="n">
        <f aca="false">IF(AN185=21,K185,0)</f>
        <v>0</v>
      </c>
      <c r="AN185" s="88" t="n">
        <v>21</v>
      </c>
      <c r="AO185" s="88" t="n">
        <f aca="false">H185*0</f>
        <v>0</v>
      </c>
      <c r="AP185" s="88" t="n">
        <f aca="false">H185*(1-0)</f>
        <v>0</v>
      </c>
      <c r="AQ185" s="87" t="s">
        <v>160</v>
      </c>
      <c r="AV185" s="88" t="n">
        <f aca="false">ROUND(AW185+AX185,2)</f>
        <v>0</v>
      </c>
      <c r="AW185" s="88" t="n">
        <f aca="false">ROUND(G185*AO185,2)</f>
        <v>0</v>
      </c>
      <c r="AX185" s="88" t="n">
        <f aca="false">ROUND(G185*AP185,2)</f>
        <v>0</v>
      </c>
      <c r="AY185" s="87" t="s">
        <v>611</v>
      </c>
      <c r="AZ185" s="87" t="s">
        <v>612</v>
      </c>
      <c r="BA185" s="116" t="s">
        <v>613</v>
      </c>
      <c r="BC185" s="88" t="n">
        <f aca="false">AW185+AX185</f>
        <v>0</v>
      </c>
      <c r="BD185" s="88" t="n">
        <f aca="false">H185/(100-BE185)*100</f>
        <v>0</v>
      </c>
      <c r="BE185" s="88" t="n">
        <v>0</v>
      </c>
      <c r="BF185" s="88" t="n">
        <f aca="false">M185</f>
        <v>0</v>
      </c>
      <c r="BH185" s="88" t="n">
        <f aca="false">G185*AO185</f>
        <v>0</v>
      </c>
      <c r="BI185" s="88" t="n">
        <f aca="false">G185*AP185</f>
        <v>0</v>
      </c>
      <c r="BJ185" s="88" t="n">
        <f aca="false">G185*H185</f>
        <v>0</v>
      </c>
      <c r="BK185" s="87" t="s">
        <v>159</v>
      </c>
      <c r="BL185" s="88"/>
      <c r="BW185" s="88" t="n">
        <v>21</v>
      </c>
      <c r="BX185" s="9" t="s">
        <v>628</v>
      </c>
    </row>
    <row r="186" customFormat="false" ht="23.85" hidden="false" customHeight="true" outlineLevel="0" collapsed="false">
      <c r="A186" s="134" t="s">
        <v>629</v>
      </c>
      <c r="B186" s="134" t="s">
        <v>113</v>
      </c>
      <c r="C186" s="134" t="s">
        <v>630</v>
      </c>
      <c r="D186" s="135" t="s">
        <v>631</v>
      </c>
      <c r="E186" s="135"/>
      <c r="F186" s="134" t="s">
        <v>79</v>
      </c>
      <c r="G186" s="136" t="n">
        <f aca="false">G185</f>
        <v>0</v>
      </c>
      <c r="H186" s="137"/>
      <c r="I186" s="137" t="n">
        <f aca="false">ROUND(G186*AO186,2)</f>
        <v>0</v>
      </c>
      <c r="J186" s="137" t="n">
        <f aca="false">ROUND(G186*AP186,2)</f>
        <v>0</v>
      </c>
      <c r="K186" s="137" t="n">
        <f aca="false">ROUND(G186*H186,2)</f>
        <v>0</v>
      </c>
      <c r="L186" s="137" t="n">
        <v>0</v>
      </c>
      <c r="M186" s="137" t="n">
        <f aca="false">G186*L186</f>
        <v>0</v>
      </c>
      <c r="N186" s="138"/>
      <c r="Z186" s="88" t="n">
        <f aca="false">ROUND(IF(AQ186="5",BJ186,0),2)</f>
        <v>0</v>
      </c>
      <c r="AB186" s="88" t="n">
        <f aca="false">ROUND(IF(AQ186="1",BH186,0),2)</f>
        <v>0</v>
      </c>
      <c r="AC186" s="88" t="n">
        <f aca="false">ROUND(IF(AQ186="1",BI186,0),2)</f>
        <v>0</v>
      </c>
      <c r="AD186" s="88" t="n">
        <f aca="false">ROUND(IF(AQ186="7",BH186,0),2)</f>
        <v>0</v>
      </c>
      <c r="AE186" s="88" t="n">
        <f aca="false">ROUND(IF(AQ186="7",BI186,0),2)</f>
        <v>0</v>
      </c>
      <c r="AF186" s="88" t="n">
        <f aca="false">ROUND(IF(AQ186="2",BH186,0),2)</f>
        <v>0</v>
      </c>
      <c r="AG186" s="88" t="n">
        <f aca="false">ROUND(IF(AQ186="2",BI186,0),2)</f>
        <v>0</v>
      </c>
      <c r="AH186" s="88" t="n">
        <f aca="false">ROUND(IF(AQ186="0",BJ186,0),2)</f>
        <v>0</v>
      </c>
      <c r="AI186" s="116" t="s">
        <v>113</v>
      </c>
      <c r="AJ186" s="88" t="n">
        <f aca="false">IF(AN186=0,K186,0)</f>
        <v>0</v>
      </c>
      <c r="AK186" s="88" t="n">
        <f aca="false">IF(AN186=12,K186,0)</f>
        <v>0</v>
      </c>
      <c r="AL186" s="88" t="n">
        <f aca="false">IF(AN186=21,K186,0)</f>
        <v>0</v>
      </c>
      <c r="AN186" s="88" t="n">
        <v>21</v>
      </c>
      <c r="AO186" s="88" t="n">
        <f aca="false">H186*0</f>
        <v>0</v>
      </c>
      <c r="AP186" s="88" t="n">
        <f aca="false">H186*(1-0)</f>
        <v>0</v>
      </c>
      <c r="AQ186" s="87" t="s">
        <v>160</v>
      </c>
      <c r="AV186" s="88" t="n">
        <f aca="false">ROUND(AW186+AX186,2)</f>
        <v>0</v>
      </c>
      <c r="AW186" s="88" t="n">
        <f aca="false">ROUND(G186*AO186,2)</f>
        <v>0</v>
      </c>
      <c r="AX186" s="88" t="n">
        <f aca="false">ROUND(G186*AP186,2)</f>
        <v>0</v>
      </c>
      <c r="AY186" s="87" t="s">
        <v>611</v>
      </c>
      <c r="AZ186" s="87" t="s">
        <v>612</v>
      </c>
      <c r="BA186" s="116" t="s">
        <v>613</v>
      </c>
      <c r="BC186" s="88" t="n">
        <f aca="false">AW186+AX186</f>
        <v>0</v>
      </c>
      <c r="BD186" s="88" t="n">
        <f aca="false">H186/(100-BE186)*100</f>
        <v>0</v>
      </c>
      <c r="BE186" s="88" t="n">
        <v>0</v>
      </c>
      <c r="BF186" s="88" t="n">
        <f aca="false">M186</f>
        <v>0</v>
      </c>
      <c r="BH186" s="88" t="n">
        <f aca="false">G186*AO186</f>
        <v>0</v>
      </c>
      <c r="BI186" s="88" t="n">
        <f aca="false">G186*AP186</f>
        <v>0</v>
      </c>
      <c r="BJ186" s="88" t="n">
        <f aca="false">G186*H186</f>
        <v>0</v>
      </c>
      <c r="BK186" s="87" t="s">
        <v>159</v>
      </c>
      <c r="BL186" s="88"/>
      <c r="BW186" s="88" t="n">
        <v>21</v>
      </c>
      <c r="BX186" s="9" t="s">
        <v>631</v>
      </c>
    </row>
    <row r="187" customFormat="false" ht="35.05" hidden="false" customHeight="true" outlineLevel="0" collapsed="false">
      <c r="A187" s="134" t="s">
        <v>632</v>
      </c>
      <c r="B187" s="134" t="s">
        <v>113</v>
      </c>
      <c r="C187" s="134" t="s">
        <v>633</v>
      </c>
      <c r="D187" s="135" t="s">
        <v>634</v>
      </c>
      <c r="E187" s="135"/>
      <c r="F187" s="134" t="s">
        <v>635</v>
      </c>
      <c r="G187" s="136" t="n">
        <v>1</v>
      </c>
      <c r="H187" s="137"/>
      <c r="I187" s="137" t="n">
        <f aca="false">ROUND(G187*AO187,2)</f>
        <v>0</v>
      </c>
      <c r="J187" s="137" t="n">
        <f aca="false">ROUND(G187*AP187,2)</f>
        <v>0</v>
      </c>
      <c r="K187" s="137" t="n">
        <f aca="false">ROUND(G187*H187,2)</f>
        <v>0</v>
      </c>
      <c r="L187" s="137" t="n">
        <v>0</v>
      </c>
      <c r="M187" s="137" t="n">
        <f aca="false">G187*L187</f>
        <v>0</v>
      </c>
      <c r="N187" s="138"/>
      <c r="Z187" s="88" t="n">
        <f aca="false">ROUND(IF(AQ187="5",BJ187,0),2)</f>
        <v>0</v>
      </c>
      <c r="AB187" s="88" t="n">
        <f aca="false">ROUND(IF(AQ187="1",BH187,0),2)</f>
        <v>0</v>
      </c>
      <c r="AC187" s="88" t="n">
        <f aca="false">ROUND(IF(AQ187="1",BI187,0),2)</f>
        <v>0</v>
      </c>
      <c r="AD187" s="88" t="n">
        <f aca="false">ROUND(IF(AQ187="7",BH187,0),2)</f>
        <v>0</v>
      </c>
      <c r="AE187" s="88" t="n">
        <f aca="false">ROUND(IF(AQ187="7",BI187,0),2)</f>
        <v>0</v>
      </c>
      <c r="AF187" s="88" t="n">
        <f aca="false">ROUND(IF(AQ187="2",BH187,0),2)</f>
        <v>0</v>
      </c>
      <c r="AG187" s="88" t="n">
        <f aca="false">ROUND(IF(AQ187="2",BI187,0),2)</f>
        <v>0</v>
      </c>
      <c r="AH187" s="88" t="n">
        <f aca="false">ROUND(IF(AQ187="0",BJ187,0),2)</f>
        <v>0</v>
      </c>
      <c r="AI187" s="116" t="s">
        <v>113</v>
      </c>
      <c r="AJ187" s="88" t="n">
        <f aca="false">IF(AN187=0,K187,0)</f>
        <v>0</v>
      </c>
      <c r="AK187" s="88" t="n">
        <f aca="false">IF(AN187=12,K187,0)</f>
        <v>0</v>
      </c>
      <c r="AL187" s="88" t="n">
        <f aca="false">IF(AN187=21,K187,0)</f>
        <v>0</v>
      </c>
      <c r="AN187" s="88" t="n">
        <v>21</v>
      </c>
      <c r="AO187" s="88" t="n">
        <f aca="false">H187*0</f>
        <v>0</v>
      </c>
      <c r="AP187" s="88" t="n">
        <f aca="false">H187*(1-0)</f>
        <v>0</v>
      </c>
      <c r="AQ187" s="87" t="s">
        <v>160</v>
      </c>
      <c r="AV187" s="88" t="n">
        <f aca="false">ROUND(AW187+AX187,2)</f>
        <v>0</v>
      </c>
      <c r="AW187" s="88" t="n">
        <f aca="false">ROUND(G187*AO187,2)</f>
        <v>0</v>
      </c>
      <c r="AX187" s="88" t="n">
        <f aca="false">ROUND(G187*AP187,2)</f>
        <v>0</v>
      </c>
      <c r="AY187" s="87" t="s">
        <v>611</v>
      </c>
      <c r="AZ187" s="87" t="s">
        <v>612</v>
      </c>
      <c r="BA187" s="116" t="s">
        <v>613</v>
      </c>
      <c r="BC187" s="88" t="n">
        <f aca="false">AW187+AX187</f>
        <v>0</v>
      </c>
      <c r="BD187" s="88" t="n">
        <f aca="false">H187/(100-BE187)*100</f>
        <v>0</v>
      </c>
      <c r="BE187" s="88" t="n">
        <v>0</v>
      </c>
      <c r="BF187" s="88" t="n">
        <f aca="false">M187</f>
        <v>0</v>
      </c>
      <c r="BH187" s="88" t="n">
        <f aca="false">G187*AO187</f>
        <v>0</v>
      </c>
      <c r="BI187" s="88" t="n">
        <f aca="false">G187*AP187</f>
        <v>0</v>
      </c>
      <c r="BJ187" s="88" t="n">
        <f aca="false">G187*H187</f>
        <v>0</v>
      </c>
      <c r="BK187" s="87" t="s">
        <v>159</v>
      </c>
      <c r="BL187" s="88"/>
      <c r="BW187" s="88" t="n">
        <v>21</v>
      </c>
      <c r="BX187" s="9" t="s">
        <v>634</v>
      </c>
    </row>
    <row r="188" customFormat="false" ht="19.85" hidden="false" customHeight="true" outlineLevel="0" collapsed="false">
      <c r="I188" s="101" t="s">
        <v>114</v>
      </c>
      <c r="J188" s="101"/>
      <c r="K188" s="167" t="n">
        <f aca="false">ROUND(SUM(K13,K22,K26,K28,K39,K53,K68,K73,K76,K84,K91,K144,K153,K156,K160,K162,K164,K170,K174,K177),1)</f>
        <v>0</v>
      </c>
    </row>
    <row r="189" customFormat="false" ht="15" hidden="false" customHeight="false" outlineLevel="0" collapsed="false">
      <c r="A189" s="1"/>
      <c r="B189" s="1"/>
      <c r="C189" s="1"/>
      <c r="D189" s="168"/>
      <c r="E189" s="1"/>
      <c r="F189" s="1"/>
      <c r="G189" s="1"/>
      <c r="H189" s="1"/>
      <c r="I189" s="1"/>
      <c r="J189" s="1"/>
      <c r="K189" s="1"/>
      <c r="L189" s="1"/>
      <c r="M189" s="1"/>
      <c r="N189" s="1"/>
    </row>
    <row r="190" customFormat="false" ht="15" hidden="false" customHeight="false" outlineLevel="0" collapsed="false">
      <c r="A190" s="1"/>
      <c r="B190" s="1"/>
      <c r="C190" s="1"/>
      <c r="D190" s="168"/>
      <c r="E190" s="1"/>
      <c r="F190" s="1"/>
      <c r="G190" s="1"/>
      <c r="H190" s="1"/>
      <c r="I190" s="1"/>
      <c r="J190" s="1"/>
      <c r="K190" s="1"/>
      <c r="L190" s="1"/>
      <c r="M190" s="1"/>
      <c r="N190" s="1"/>
    </row>
  </sheetData>
  <mergeCells count="206">
    <mergeCell ref="A1:M1"/>
    <mergeCell ref="A2:B3"/>
    <mergeCell ref="C2:D3"/>
    <mergeCell ref="E2:E3"/>
    <mergeCell ref="F2:G3"/>
    <mergeCell ref="H2:H3"/>
    <mergeCell ref="I2:N3"/>
    <mergeCell ref="A4:B5"/>
    <mergeCell ref="C4:D5"/>
    <mergeCell ref="E4:E5"/>
    <mergeCell ref="F4:G5"/>
    <mergeCell ref="H4:H5"/>
    <mergeCell ref="I4:N5"/>
    <mergeCell ref="A6:B7"/>
    <mergeCell ref="C6:D7"/>
    <mergeCell ref="E6:E7"/>
    <mergeCell ref="F6:G7"/>
    <mergeCell ref="H6:H7"/>
    <mergeCell ref="I6:N7"/>
    <mergeCell ref="A8:B9"/>
    <mergeCell ref="C8:D9"/>
    <mergeCell ref="E8:E9"/>
    <mergeCell ref="F8:G9"/>
    <mergeCell ref="H8:H9"/>
    <mergeCell ref="I8:N9"/>
    <mergeCell ref="D10:E10"/>
    <mergeCell ref="I10:K10"/>
    <mergeCell ref="L10:M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D59:E59"/>
    <mergeCell ref="D60:E60"/>
    <mergeCell ref="D61:E61"/>
    <mergeCell ref="D62:E62"/>
    <mergeCell ref="D63:E63"/>
    <mergeCell ref="D64:E64"/>
    <mergeCell ref="D65:E65"/>
    <mergeCell ref="D66:E66"/>
    <mergeCell ref="D67:E67"/>
    <mergeCell ref="D68:E68"/>
    <mergeCell ref="D69:E69"/>
    <mergeCell ref="D70:E70"/>
    <mergeCell ref="D71:E71"/>
    <mergeCell ref="D72:E72"/>
    <mergeCell ref="D73:E73"/>
    <mergeCell ref="D74:E74"/>
    <mergeCell ref="D75:E75"/>
    <mergeCell ref="D76:E76"/>
    <mergeCell ref="D77:E77"/>
    <mergeCell ref="D78:E78"/>
    <mergeCell ref="D79:E79"/>
    <mergeCell ref="D80:E80"/>
    <mergeCell ref="D81:E81"/>
    <mergeCell ref="D82:E82"/>
    <mergeCell ref="D83:E83"/>
    <mergeCell ref="D84:E84"/>
    <mergeCell ref="D85:E85"/>
    <mergeCell ref="D86:E86"/>
    <mergeCell ref="D87:E87"/>
    <mergeCell ref="D88:E88"/>
    <mergeCell ref="D89:E89"/>
    <mergeCell ref="D90:E90"/>
    <mergeCell ref="D91:E91"/>
    <mergeCell ref="D92:E92"/>
    <mergeCell ref="D93:E93"/>
    <mergeCell ref="D94:E94"/>
    <mergeCell ref="D95:E95"/>
    <mergeCell ref="D96:E96"/>
    <mergeCell ref="D97:E97"/>
    <mergeCell ref="D98:E98"/>
    <mergeCell ref="D99:E99"/>
    <mergeCell ref="D100:E100"/>
    <mergeCell ref="D101:E101"/>
    <mergeCell ref="D102:E102"/>
    <mergeCell ref="D103:E103"/>
    <mergeCell ref="D104:E104"/>
    <mergeCell ref="D105:E105"/>
    <mergeCell ref="D106:E106"/>
    <mergeCell ref="D107:E107"/>
    <mergeCell ref="D108:E108"/>
    <mergeCell ref="D109:E109"/>
    <mergeCell ref="D110:E110"/>
    <mergeCell ref="D111:E111"/>
    <mergeCell ref="D112:E112"/>
    <mergeCell ref="D113:E113"/>
    <mergeCell ref="D114:E114"/>
    <mergeCell ref="D115:E115"/>
    <mergeCell ref="D116:E116"/>
    <mergeCell ref="D117:E117"/>
    <mergeCell ref="D118:E118"/>
    <mergeCell ref="D119:E119"/>
    <mergeCell ref="D120:E120"/>
    <mergeCell ref="D121:E121"/>
    <mergeCell ref="D122:E122"/>
    <mergeCell ref="D123:E123"/>
    <mergeCell ref="D124:E124"/>
    <mergeCell ref="D125:E125"/>
    <mergeCell ref="D126:E126"/>
    <mergeCell ref="D127:E127"/>
    <mergeCell ref="D128:E128"/>
    <mergeCell ref="D129:E129"/>
    <mergeCell ref="D130:E130"/>
    <mergeCell ref="D131:E131"/>
    <mergeCell ref="D132:E132"/>
    <mergeCell ref="D133:E133"/>
    <mergeCell ref="D134:E134"/>
    <mergeCell ref="D135:E135"/>
    <mergeCell ref="D136:E136"/>
    <mergeCell ref="D137:E137"/>
    <mergeCell ref="D138:E138"/>
    <mergeCell ref="D139:E139"/>
    <mergeCell ref="D140:E140"/>
    <mergeCell ref="D141:E141"/>
    <mergeCell ref="D142:E142"/>
    <mergeCell ref="D143:E143"/>
    <mergeCell ref="D144:E144"/>
    <mergeCell ref="D145:E145"/>
    <mergeCell ref="D146:E146"/>
    <mergeCell ref="D147:E147"/>
    <mergeCell ref="D148:E148"/>
    <mergeCell ref="D149:E149"/>
    <mergeCell ref="D150:E150"/>
    <mergeCell ref="D151:E151"/>
    <mergeCell ref="D152:E152"/>
    <mergeCell ref="D153:E153"/>
    <mergeCell ref="D154:E154"/>
    <mergeCell ref="D155:E155"/>
    <mergeCell ref="D156:E156"/>
    <mergeCell ref="D157:E157"/>
    <mergeCell ref="D158:E158"/>
    <mergeCell ref="D159:E159"/>
    <mergeCell ref="D160:E160"/>
    <mergeCell ref="D161:E161"/>
    <mergeCell ref="D162:E162"/>
    <mergeCell ref="D163:E163"/>
    <mergeCell ref="D164:E164"/>
    <mergeCell ref="D165:E165"/>
    <mergeCell ref="D166:E166"/>
    <mergeCell ref="D167:E167"/>
    <mergeCell ref="D168:E168"/>
    <mergeCell ref="D169:E169"/>
    <mergeCell ref="D170:E170"/>
    <mergeCell ref="D171:E171"/>
    <mergeCell ref="D172:E172"/>
    <mergeCell ref="D173:E173"/>
    <mergeCell ref="D174:E174"/>
    <mergeCell ref="D175:E175"/>
    <mergeCell ref="D176:E176"/>
    <mergeCell ref="D177:E177"/>
    <mergeCell ref="D178:E178"/>
    <mergeCell ref="D179:E179"/>
    <mergeCell ref="D180:E180"/>
    <mergeCell ref="D181:E181"/>
    <mergeCell ref="D182:E182"/>
    <mergeCell ref="D183:E183"/>
    <mergeCell ref="D184:E184"/>
    <mergeCell ref="D185:E185"/>
    <mergeCell ref="D186:E186"/>
    <mergeCell ref="D187:E187"/>
    <mergeCell ref="I188:J188"/>
  </mergeCells>
  <printOptions headings="false" gridLines="false" gridLinesSet="true" horizontalCentered="false" verticalCentered="false"/>
  <pageMargins left="0.39375" right="0.39375" top="0.590972222222222" bottom="0.757638888888889" header="0.511811023622047" footer="0.590972222222222"/>
  <pageSetup paperSize="1" scale="100" fitToWidth="1" fitToHeight="5" pageOrder="downThenOver" orientation="landscape" blackAndWhite="false" draft="false" cellComments="none" firstPageNumber="4" useFirstPageNumber="true" horizontalDpi="300" verticalDpi="300" copies="1"/>
  <headerFooter differentFirst="false" differentOddEven="false">
    <oddHeader/>
    <oddFooter>&amp;C&amp;"Times New Roman,obyčejné"&amp;12&amp;F, Stránka &amp;P</oddFooter>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H358"/>
  <sheetViews>
    <sheetView showFormulas="false" showGridLines="true" showRowColHeaders="true" showZeros="true" rightToLeft="false" tabSelected="false" showOutlineSymbols="true" defaultGridColor="true" view="normal" topLeftCell="A337" colorId="64" zoomScale="100" zoomScaleNormal="100" zoomScalePageLayoutView="100" workbookViewId="0">
      <selection pane="topLeft" activeCell="D353" activeCellId="0" sqref="D353"/>
    </sheetView>
  </sheetViews>
  <sheetFormatPr defaultColWidth="12.1484375" defaultRowHeight="15" customHeight="true" zeroHeight="false" outlineLevelRow="0" outlineLevelCol="0"/>
  <cols>
    <col collapsed="false" customWidth="true" hidden="false" outlineLevel="0" max="2" min="1" style="22" width="9.14"/>
    <col collapsed="false" customWidth="true" hidden="false" outlineLevel="0" max="3" min="3" style="22" width="14.29"/>
    <col collapsed="false" customWidth="true" hidden="false" outlineLevel="0" max="4" min="4" style="103" width="48"/>
    <col collapsed="false" customWidth="true" hidden="false" outlineLevel="0" max="5" min="5" style="22" width="45.65"/>
    <col collapsed="false" customWidth="true" hidden="false" outlineLevel="0" max="6" min="6" style="22" width="24.14"/>
    <col collapsed="false" customWidth="true" hidden="false" outlineLevel="0" max="7" min="7" style="22" width="15.71"/>
    <col collapsed="false" customWidth="true" hidden="false" outlineLevel="0" max="8" min="8" style="22" width="20"/>
  </cols>
  <sheetData>
    <row r="1" customFormat="false" ht="39.7" hidden="false" customHeight="true" outlineLevel="0" collapsed="false">
      <c r="A1" s="106" t="s">
        <v>636</v>
      </c>
      <c r="B1" s="106"/>
      <c r="C1" s="106"/>
      <c r="D1" s="106"/>
      <c r="E1" s="106"/>
      <c r="F1" s="106"/>
      <c r="G1" s="106"/>
      <c r="H1" s="106"/>
    </row>
    <row r="2" customFormat="false" ht="15" hidden="false" customHeight="true" outlineLevel="0" collapsed="false">
      <c r="A2" s="3" t="s">
        <v>1</v>
      </c>
      <c r="B2" s="3"/>
      <c r="C2" s="4" t="str">
        <f aca="false">'Stavební rozpočet'!C2</f>
        <v>Přeměna sídlištních ploch – II. Etapa _ Fontána Jablko</v>
      </c>
      <c r="D2" s="4"/>
      <c r="E2" s="5" t="s">
        <v>2</v>
      </c>
      <c r="F2" s="73" t="str">
        <f aca="false">'Stavební rozpočet'!I2</f>
        <v>Městská část Praha 12, Generála Šišky 2375/6, 143</v>
      </c>
      <c r="G2" s="73"/>
      <c r="H2" s="73"/>
    </row>
    <row r="3" customFormat="false" ht="15" hidden="false" customHeight="false" outlineLevel="0" collapsed="false">
      <c r="A3" s="3"/>
      <c r="B3" s="3"/>
      <c r="C3" s="4"/>
      <c r="D3" s="4"/>
      <c r="E3" s="5"/>
      <c r="F3" s="5"/>
      <c r="G3" s="73"/>
      <c r="H3" s="73"/>
    </row>
    <row r="4" customFormat="false" ht="15" hidden="false" customHeight="true" outlineLevel="0" collapsed="false">
      <c r="A4" s="8" t="s">
        <v>5</v>
      </c>
      <c r="B4" s="8"/>
      <c r="C4" s="9" t="str">
        <f aca="false">'Stavební rozpočet'!C4</f>
        <v>Stavební úpravy veřejného prostranství _Fontána Jablko</v>
      </c>
      <c r="D4" s="9"/>
      <c r="E4" s="9" t="s">
        <v>6</v>
      </c>
      <c r="F4" s="74" t="str">
        <f aca="false">'Stavební rozpočet'!I4</f>
        <v>HUA HUA ARCHITECTS s.r.o., Porážka 459/2, 602 00 Brno</v>
      </c>
      <c r="G4" s="74"/>
      <c r="H4" s="74"/>
    </row>
    <row r="5" customFormat="false" ht="15" hidden="false" customHeight="false" outlineLevel="0" collapsed="false">
      <c r="A5" s="8"/>
      <c r="B5" s="8"/>
      <c r="C5" s="9"/>
      <c r="D5" s="9"/>
      <c r="E5" s="9"/>
      <c r="F5" s="9"/>
      <c r="G5" s="74"/>
      <c r="H5" s="74"/>
    </row>
    <row r="6" customFormat="false" ht="15" hidden="false" customHeight="true" outlineLevel="0" collapsed="false">
      <c r="A6" s="8" t="s">
        <v>8</v>
      </c>
      <c r="B6" s="8"/>
      <c r="C6" s="9" t="str">
        <f aca="false">'Stavební rozpočet'!C6</f>
        <v>Praha (554782),Modřany (728616), par.č. 4400/448</v>
      </c>
      <c r="D6" s="9"/>
      <c r="E6" s="9" t="s">
        <v>9</v>
      </c>
      <c r="F6" s="74" t="str">
        <f aca="false">'Stavební rozpočet'!I6</f>
        <v> </v>
      </c>
      <c r="G6" s="74"/>
      <c r="H6" s="74"/>
    </row>
    <row r="7" customFormat="false" ht="15" hidden="false" customHeight="false" outlineLevel="0" collapsed="false">
      <c r="A7" s="8"/>
      <c r="B7" s="8"/>
      <c r="C7" s="9"/>
      <c r="D7" s="9"/>
      <c r="E7" s="9"/>
      <c r="F7" s="9"/>
      <c r="G7" s="74"/>
      <c r="H7" s="74"/>
    </row>
    <row r="8" customFormat="false" ht="15" hidden="false" customHeight="true" outlineLevel="0" collapsed="false">
      <c r="A8" s="8" t="s">
        <v>14</v>
      </c>
      <c r="B8" s="8"/>
      <c r="C8" s="9" t="str">
        <f aca="false">'Stavební rozpočet'!I8</f>
        <v>Bohuslav Hemala</v>
      </c>
      <c r="D8" s="9"/>
      <c r="E8" s="9" t="s">
        <v>96</v>
      </c>
      <c r="F8" s="74" t="str">
        <f aca="false">'Stavební rozpočet'!F8</f>
        <v>08.01.2026</v>
      </c>
      <c r="G8" s="74"/>
      <c r="H8" s="74"/>
    </row>
    <row r="9" customFormat="false" ht="15" hidden="false" customHeight="false" outlineLevel="0" collapsed="false">
      <c r="A9" s="8"/>
      <c r="B9" s="8"/>
      <c r="C9" s="9"/>
      <c r="D9" s="9"/>
      <c r="E9" s="9"/>
      <c r="F9" s="9"/>
      <c r="G9" s="74"/>
      <c r="H9" s="74"/>
    </row>
    <row r="10" customFormat="false" ht="15" hidden="false" customHeight="true" outlineLevel="0" collapsed="false">
      <c r="A10" s="169" t="s">
        <v>124</v>
      </c>
      <c r="B10" s="170" t="s">
        <v>100</v>
      </c>
      <c r="C10" s="170" t="s">
        <v>125</v>
      </c>
      <c r="D10" s="171" t="s">
        <v>101</v>
      </c>
      <c r="E10" s="171"/>
      <c r="F10" s="170" t="s">
        <v>126</v>
      </c>
      <c r="G10" s="172" t="s">
        <v>127</v>
      </c>
      <c r="H10" s="173" t="s">
        <v>637</v>
      </c>
    </row>
    <row r="11" customFormat="false" ht="15" hidden="false" customHeight="true" outlineLevel="0" collapsed="false">
      <c r="A11" s="129"/>
      <c r="B11" s="129" t="s">
        <v>638</v>
      </c>
      <c r="C11" s="129" t="s">
        <v>606</v>
      </c>
      <c r="D11" s="130" t="s">
        <v>607</v>
      </c>
      <c r="E11" s="130"/>
      <c r="F11" s="129"/>
      <c r="G11" s="133"/>
      <c r="H11" s="133"/>
    </row>
    <row r="12" customFormat="false" ht="15" hidden="false" customHeight="true" outlineLevel="0" collapsed="false">
      <c r="A12" s="129"/>
      <c r="B12" s="129" t="s">
        <v>638</v>
      </c>
      <c r="C12" s="129" t="s">
        <v>149</v>
      </c>
      <c r="D12" s="130" t="s">
        <v>150</v>
      </c>
      <c r="E12" s="130"/>
      <c r="F12" s="129"/>
      <c r="G12" s="133"/>
      <c r="H12" s="133"/>
    </row>
    <row r="13" customFormat="false" ht="15" hidden="false" customHeight="true" outlineLevel="0" collapsed="false">
      <c r="A13" s="129"/>
      <c r="B13" s="129" t="s">
        <v>638</v>
      </c>
      <c r="C13" s="129" t="s">
        <v>206</v>
      </c>
      <c r="D13" s="130" t="s">
        <v>234</v>
      </c>
      <c r="E13" s="130"/>
      <c r="F13" s="129"/>
      <c r="G13" s="133"/>
      <c r="H13" s="133"/>
    </row>
    <row r="14" customFormat="false" ht="15" hidden="false" customHeight="true" outlineLevel="0" collapsed="false">
      <c r="A14" s="129"/>
      <c r="B14" s="129" t="s">
        <v>638</v>
      </c>
      <c r="C14" s="129" t="s">
        <v>216</v>
      </c>
      <c r="D14" s="130" t="s">
        <v>556</v>
      </c>
      <c r="E14" s="130"/>
      <c r="F14" s="129"/>
      <c r="G14" s="133"/>
      <c r="H14" s="133"/>
    </row>
    <row r="15" customFormat="false" ht="15" hidden="false" customHeight="true" outlineLevel="0" collapsed="false">
      <c r="A15" s="129"/>
      <c r="B15" s="129" t="s">
        <v>638</v>
      </c>
      <c r="C15" s="129" t="s">
        <v>222</v>
      </c>
      <c r="D15" s="130" t="s">
        <v>385</v>
      </c>
      <c r="E15" s="130"/>
      <c r="F15" s="129"/>
      <c r="G15" s="133"/>
      <c r="H15" s="133"/>
    </row>
    <row r="16" customFormat="false" ht="15" hidden="false" customHeight="true" outlineLevel="0" collapsed="false">
      <c r="A16" s="129"/>
      <c r="B16" s="129" t="s">
        <v>638</v>
      </c>
      <c r="C16" s="129" t="s">
        <v>526</v>
      </c>
      <c r="D16" s="130" t="s">
        <v>527</v>
      </c>
      <c r="E16" s="130"/>
      <c r="F16" s="129"/>
      <c r="G16" s="133"/>
      <c r="H16" s="133"/>
    </row>
    <row r="17" customFormat="false" ht="15" hidden="false" customHeight="true" outlineLevel="0" collapsed="false">
      <c r="A17" s="129"/>
      <c r="B17" s="129" t="s">
        <v>638</v>
      </c>
      <c r="C17" s="129" t="s">
        <v>231</v>
      </c>
      <c r="D17" s="130" t="s">
        <v>563</v>
      </c>
      <c r="E17" s="130"/>
      <c r="F17" s="129"/>
      <c r="G17" s="133"/>
      <c r="H17" s="133"/>
    </row>
    <row r="18" customFormat="false" ht="15" hidden="false" customHeight="true" outlineLevel="0" collapsed="false">
      <c r="A18" s="129"/>
      <c r="B18" s="129" t="s">
        <v>638</v>
      </c>
      <c r="C18" s="129" t="s">
        <v>253</v>
      </c>
      <c r="D18" s="130" t="s">
        <v>568</v>
      </c>
      <c r="E18" s="130"/>
      <c r="F18" s="129"/>
      <c r="G18" s="133"/>
      <c r="H18" s="133"/>
    </row>
    <row r="19" customFormat="false" ht="15" hidden="false" customHeight="true" outlineLevel="0" collapsed="false">
      <c r="A19" s="129"/>
      <c r="B19" s="129" t="s">
        <v>638</v>
      </c>
      <c r="C19" s="129" t="s">
        <v>287</v>
      </c>
      <c r="D19" s="130" t="s">
        <v>573</v>
      </c>
      <c r="E19" s="130"/>
      <c r="F19" s="129"/>
      <c r="G19" s="133"/>
      <c r="H19" s="133"/>
    </row>
    <row r="20" customFormat="false" ht="15" hidden="false" customHeight="true" outlineLevel="0" collapsed="false">
      <c r="A20" s="129"/>
      <c r="B20" s="129" t="s">
        <v>638</v>
      </c>
      <c r="C20" s="129" t="s">
        <v>274</v>
      </c>
      <c r="D20" s="130" t="s">
        <v>275</v>
      </c>
      <c r="E20" s="130"/>
      <c r="F20" s="129"/>
      <c r="G20" s="133"/>
      <c r="H20" s="133"/>
    </row>
    <row r="21" customFormat="false" ht="15" hidden="false" customHeight="true" outlineLevel="0" collapsed="false">
      <c r="A21" s="129"/>
      <c r="B21" s="129" t="s">
        <v>638</v>
      </c>
      <c r="C21" s="129" t="s">
        <v>320</v>
      </c>
      <c r="D21" s="130" t="s">
        <v>321</v>
      </c>
      <c r="E21" s="130"/>
      <c r="F21" s="129"/>
      <c r="G21" s="133"/>
      <c r="H21" s="133"/>
    </row>
    <row r="22" customFormat="false" ht="15" hidden="false" customHeight="true" outlineLevel="0" collapsed="false">
      <c r="A22" s="129"/>
      <c r="B22" s="129" t="s">
        <v>638</v>
      </c>
      <c r="C22" s="129" t="s">
        <v>590</v>
      </c>
      <c r="D22" s="130" t="s">
        <v>112</v>
      </c>
      <c r="E22" s="130"/>
      <c r="F22" s="129"/>
      <c r="G22" s="133"/>
      <c r="H22" s="133"/>
    </row>
    <row r="23" customFormat="false" ht="15" hidden="false" customHeight="true" outlineLevel="0" collapsed="false">
      <c r="A23" s="129"/>
      <c r="B23" s="129" t="s">
        <v>638</v>
      </c>
      <c r="C23" s="129" t="s">
        <v>336</v>
      </c>
      <c r="D23" s="130" t="s">
        <v>337</v>
      </c>
      <c r="E23" s="130"/>
      <c r="F23" s="129"/>
      <c r="G23" s="133"/>
      <c r="H23" s="133"/>
    </row>
    <row r="24" customFormat="false" ht="15" hidden="false" customHeight="true" outlineLevel="0" collapsed="false">
      <c r="A24" s="129"/>
      <c r="B24" s="129" t="s">
        <v>638</v>
      </c>
      <c r="C24" s="129" t="s">
        <v>346</v>
      </c>
      <c r="D24" s="130" t="s">
        <v>347</v>
      </c>
      <c r="E24" s="130"/>
      <c r="F24" s="129"/>
      <c r="G24" s="133"/>
      <c r="H24" s="133"/>
    </row>
    <row r="25" customFormat="false" ht="15" hidden="false" customHeight="true" outlineLevel="0" collapsed="false">
      <c r="A25" s="129"/>
      <c r="B25" s="129" t="s">
        <v>638</v>
      </c>
      <c r="C25" s="129" t="s">
        <v>184</v>
      </c>
      <c r="D25" s="130" t="s">
        <v>185</v>
      </c>
      <c r="E25" s="130"/>
      <c r="F25" s="129"/>
      <c r="G25" s="133"/>
      <c r="H25" s="133"/>
    </row>
    <row r="26" customFormat="false" ht="15" hidden="false" customHeight="true" outlineLevel="0" collapsed="false">
      <c r="A26" s="129"/>
      <c r="B26" s="129" t="s">
        <v>638</v>
      </c>
      <c r="C26" s="129" t="s">
        <v>197</v>
      </c>
      <c r="D26" s="130" t="s">
        <v>198</v>
      </c>
      <c r="E26" s="130"/>
      <c r="F26" s="129"/>
      <c r="G26" s="133"/>
      <c r="H26" s="133"/>
    </row>
    <row r="27" customFormat="false" ht="15" hidden="false" customHeight="true" outlineLevel="0" collapsed="false">
      <c r="A27" s="129"/>
      <c r="B27" s="129" t="s">
        <v>638</v>
      </c>
      <c r="C27" s="129" t="s">
        <v>601</v>
      </c>
      <c r="D27" s="130" t="s">
        <v>602</v>
      </c>
      <c r="E27" s="130"/>
      <c r="F27" s="129"/>
      <c r="G27" s="133"/>
      <c r="H27" s="133"/>
    </row>
    <row r="28" customFormat="false" ht="15" hidden="false" customHeight="true" outlineLevel="0" collapsed="false">
      <c r="A28" s="129"/>
      <c r="B28" s="129" t="s">
        <v>638</v>
      </c>
      <c r="C28" s="129" t="s">
        <v>204</v>
      </c>
      <c r="D28" s="130" t="s">
        <v>205</v>
      </c>
      <c r="E28" s="130"/>
      <c r="F28" s="129"/>
      <c r="G28" s="133"/>
      <c r="H28" s="133"/>
    </row>
    <row r="29" customFormat="false" ht="15" hidden="false" customHeight="true" outlineLevel="0" collapsed="false">
      <c r="A29" s="134" t="s">
        <v>151</v>
      </c>
      <c r="B29" s="134" t="s">
        <v>104</v>
      </c>
      <c r="C29" s="134" t="s">
        <v>152</v>
      </c>
      <c r="D29" s="135" t="s">
        <v>153</v>
      </c>
      <c r="E29" s="135"/>
      <c r="F29" s="134" t="s">
        <v>154</v>
      </c>
      <c r="G29" s="137" t="n">
        <v>22.7</v>
      </c>
      <c r="H29" s="137" t="n">
        <v>0</v>
      </c>
    </row>
    <row r="30" customFormat="false" ht="15" hidden="false" customHeight="false" outlineLevel="0" collapsed="false">
      <c r="A30" s="174"/>
      <c r="B30" s="174"/>
      <c r="C30" s="174"/>
      <c r="D30" s="175" t="s">
        <v>639</v>
      </c>
      <c r="E30" s="176"/>
      <c r="F30" s="176"/>
      <c r="G30" s="177" t="n">
        <v>22.7</v>
      </c>
      <c r="H30" s="174"/>
    </row>
    <row r="31" customFormat="false" ht="15" hidden="false" customHeight="true" outlineLevel="0" collapsed="false">
      <c r="A31" s="134" t="s">
        <v>160</v>
      </c>
      <c r="B31" s="134" t="s">
        <v>104</v>
      </c>
      <c r="C31" s="134" t="s">
        <v>161</v>
      </c>
      <c r="D31" s="135" t="s">
        <v>162</v>
      </c>
      <c r="E31" s="135"/>
      <c r="F31" s="134" t="s">
        <v>163</v>
      </c>
      <c r="G31" s="137" t="n">
        <v>1</v>
      </c>
      <c r="H31" s="137" t="n">
        <v>0</v>
      </c>
    </row>
    <row r="32" customFormat="false" ht="15" hidden="false" customHeight="false" outlineLevel="0" collapsed="false">
      <c r="A32" s="174"/>
      <c r="B32" s="174"/>
      <c r="C32" s="174"/>
      <c r="D32" s="175" t="s">
        <v>151</v>
      </c>
      <c r="E32" s="176"/>
      <c r="F32" s="176"/>
      <c r="G32" s="177" t="n">
        <v>1</v>
      </c>
      <c r="H32" s="174"/>
    </row>
    <row r="33" customFormat="false" ht="15" hidden="false" customHeight="true" outlineLevel="0" collapsed="false">
      <c r="A33" s="134" t="s">
        <v>164</v>
      </c>
      <c r="B33" s="134" t="s">
        <v>104</v>
      </c>
      <c r="C33" s="134" t="s">
        <v>161</v>
      </c>
      <c r="D33" s="135" t="s">
        <v>165</v>
      </c>
      <c r="E33" s="135"/>
      <c r="F33" s="134" t="s">
        <v>163</v>
      </c>
      <c r="G33" s="137" t="n">
        <v>5</v>
      </c>
      <c r="H33" s="137" t="n">
        <v>0</v>
      </c>
    </row>
    <row r="34" customFormat="false" ht="15" hidden="false" customHeight="false" outlineLevel="0" collapsed="false">
      <c r="A34" s="174"/>
      <c r="B34" s="174"/>
      <c r="C34" s="174"/>
      <c r="D34" s="175" t="s">
        <v>640</v>
      </c>
      <c r="E34" s="176"/>
      <c r="F34" s="176"/>
      <c r="G34" s="177" t="n">
        <v>5</v>
      </c>
      <c r="H34" s="174"/>
    </row>
    <row r="35" customFormat="false" ht="15" hidden="false" customHeight="true" outlineLevel="0" collapsed="false">
      <c r="A35" s="134" t="s">
        <v>166</v>
      </c>
      <c r="B35" s="134" t="s">
        <v>104</v>
      </c>
      <c r="C35" s="134" t="s">
        <v>167</v>
      </c>
      <c r="D35" s="135" t="s">
        <v>168</v>
      </c>
      <c r="E35" s="135"/>
      <c r="F35" s="134" t="s">
        <v>169</v>
      </c>
      <c r="G35" s="137" t="n">
        <v>6</v>
      </c>
      <c r="H35" s="137" t="n">
        <v>0</v>
      </c>
    </row>
    <row r="36" customFormat="false" ht="15" hidden="false" customHeight="false" outlineLevel="0" collapsed="false">
      <c r="A36" s="174"/>
      <c r="B36" s="174"/>
      <c r="C36" s="174"/>
      <c r="D36" s="175" t="s">
        <v>173</v>
      </c>
      <c r="E36" s="176"/>
      <c r="F36" s="176"/>
      <c r="G36" s="177" t="n">
        <v>6</v>
      </c>
      <c r="H36" s="174"/>
    </row>
    <row r="37" customFormat="false" ht="15" hidden="false" customHeight="true" outlineLevel="0" collapsed="false">
      <c r="A37" s="134" t="s">
        <v>170</v>
      </c>
      <c r="B37" s="134" t="s">
        <v>104</v>
      </c>
      <c r="C37" s="134" t="s">
        <v>171</v>
      </c>
      <c r="D37" s="135" t="s">
        <v>172</v>
      </c>
      <c r="E37" s="135"/>
      <c r="F37" s="134" t="s">
        <v>169</v>
      </c>
      <c r="G37" s="137" t="n">
        <v>6</v>
      </c>
      <c r="H37" s="137" t="n">
        <v>0</v>
      </c>
    </row>
    <row r="38" customFormat="false" ht="15" hidden="false" customHeight="false" outlineLevel="0" collapsed="false">
      <c r="A38" s="174"/>
      <c r="B38" s="174"/>
      <c r="C38" s="174"/>
      <c r="D38" s="175" t="s">
        <v>173</v>
      </c>
      <c r="E38" s="176"/>
      <c r="F38" s="176"/>
      <c r="G38" s="177" t="n">
        <v>6</v>
      </c>
      <c r="H38" s="174"/>
    </row>
    <row r="39" customFormat="false" ht="15" hidden="false" customHeight="true" outlineLevel="0" collapsed="false">
      <c r="A39" s="134" t="s">
        <v>173</v>
      </c>
      <c r="B39" s="134" t="s">
        <v>104</v>
      </c>
      <c r="C39" s="134" t="s">
        <v>174</v>
      </c>
      <c r="D39" s="135" t="s">
        <v>175</v>
      </c>
      <c r="E39" s="135"/>
      <c r="F39" s="134" t="s">
        <v>169</v>
      </c>
      <c r="G39" s="137" t="n">
        <v>12</v>
      </c>
      <c r="H39" s="137" t="n">
        <v>0</v>
      </c>
    </row>
    <row r="40" customFormat="false" ht="15" hidden="false" customHeight="false" outlineLevel="0" collapsed="false">
      <c r="A40" s="174"/>
      <c r="B40" s="174"/>
      <c r="C40" s="174"/>
      <c r="D40" s="175" t="s">
        <v>641</v>
      </c>
      <c r="E40" s="176" t="s">
        <v>642</v>
      </c>
      <c r="F40" s="176"/>
      <c r="G40" s="177" t="n">
        <v>12</v>
      </c>
      <c r="H40" s="174"/>
    </row>
    <row r="41" customFormat="false" ht="15" hidden="false" customHeight="true" outlineLevel="0" collapsed="false">
      <c r="A41" s="139" t="s">
        <v>176</v>
      </c>
      <c r="B41" s="139" t="s">
        <v>104</v>
      </c>
      <c r="C41" s="139" t="s">
        <v>177</v>
      </c>
      <c r="D41" s="140" t="s">
        <v>178</v>
      </c>
      <c r="E41" s="140"/>
      <c r="F41" s="139" t="s">
        <v>179</v>
      </c>
      <c r="G41" s="142" t="n">
        <v>0.672</v>
      </c>
      <c r="H41" s="142" t="n">
        <v>0</v>
      </c>
    </row>
    <row r="42" customFormat="false" ht="15" hidden="false" customHeight="false" outlineLevel="0" collapsed="false">
      <c r="A42" s="174"/>
      <c r="B42" s="174"/>
      <c r="C42" s="174"/>
      <c r="D42" s="175" t="s">
        <v>643</v>
      </c>
      <c r="E42" s="176"/>
      <c r="F42" s="176"/>
      <c r="G42" s="178" t="n">
        <v>0.611</v>
      </c>
      <c r="H42" s="174"/>
    </row>
    <row r="43" customFormat="false" ht="15" hidden="false" customHeight="false" outlineLevel="0" collapsed="false">
      <c r="A43" s="139"/>
      <c r="B43" s="139"/>
      <c r="C43" s="139"/>
      <c r="D43" s="175" t="s">
        <v>644</v>
      </c>
      <c r="E43" s="176"/>
      <c r="F43" s="176"/>
      <c r="G43" s="178" t="n">
        <v>0.061</v>
      </c>
      <c r="H43" s="143"/>
    </row>
    <row r="44" customFormat="false" ht="15" hidden="false" customHeight="true" outlineLevel="0" collapsed="false">
      <c r="A44" s="134" t="s">
        <v>181</v>
      </c>
      <c r="B44" s="134" t="s">
        <v>104</v>
      </c>
      <c r="C44" s="134" t="s">
        <v>182</v>
      </c>
      <c r="D44" s="135" t="s">
        <v>183</v>
      </c>
      <c r="E44" s="135"/>
      <c r="F44" s="134" t="s">
        <v>179</v>
      </c>
      <c r="G44" s="137" t="n">
        <v>0.611</v>
      </c>
      <c r="H44" s="137" t="n">
        <v>0</v>
      </c>
    </row>
    <row r="45" customFormat="false" ht="15" hidden="false" customHeight="false" outlineLevel="0" collapsed="false">
      <c r="A45" s="174"/>
      <c r="B45" s="174"/>
      <c r="C45" s="174"/>
      <c r="D45" s="175" t="s">
        <v>643</v>
      </c>
      <c r="E45" s="176"/>
      <c r="F45" s="176"/>
      <c r="G45" s="177" t="n">
        <v>0.611</v>
      </c>
      <c r="H45" s="174"/>
    </row>
    <row r="46" customFormat="false" ht="15" hidden="false" customHeight="true" outlineLevel="0" collapsed="false">
      <c r="A46" s="134" t="s">
        <v>186</v>
      </c>
      <c r="B46" s="134" t="s">
        <v>104</v>
      </c>
      <c r="C46" s="134" t="s">
        <v>187</v>
      </c>
      <c r="D46" s="135" t="s">
        <v>188</v>
      </c>
      <c r="E46" s="135"/>
      <c r="F46" s="134" t="s">
        <v>189</v>
      </c>
      <c r="G46" s="137" t="n">
        <v>0.681</v>
      </c>
      <c r="H46" s="137" t="n">
        <v>0</v>
      </c>
    </row>
    <row r="47" customFormat="false" ht="15" hidden="false" customHeight="false" outlineLevel="0" collapsed="false">
      <c r="A47" s="174"/>
      <c r="B47" s="174"/>
      <c r="C47" s="174"/>
      <c r="D47" s="175" t="s">
        <v>645</v>
      </c>
      <c r="E47" s="176" t="s">
        <v>646</v>
      </c>
      <c r="F47" s="176"/>
      <c r="G47" s="177" t="n">
        <v>0.681</v>
      </c>
      <c r="H47" s="174"/>
    </row>
    <row r="48" customFormat="false" ht="15" hidden="false" customHeight="true" outlineLevel="0" collapsed="false">
      <c r="A48" s="134" t="s">
        <v>192</v>
      </c>
      <c r="B48" s="134" t="s">
        <v>104</v>
      </c>
      <c r="C48" s="134" t="s">
        <v>193</v>
      </c>
      <c r="D48" s="135" t="s">
        <v>194</v>
      </c>
      <c r="E48" s="135"/>
      <c r="F48" s="134" t="s">
        <v>189</v>
      </c>
      <c r="G48" s="137" t="n">
        <v>1.024</v>
      </c>
      <c r="H48" s="137" t="n">
        <v>0</v>
      </c>
    </row>
    <row r="49" customFormat="false" ht="15" hidden="false" customHeight="false" outlineLevel="0" collapsed="false">
      <c r="A49" s="174"/>
      <c r="B49" s="174"/>
      <c r="C49" s="174"/>
      <c r="D49" s="175" t="s">
        <v>647</v>
      </c>
      <c r="E49" s="176" t="s">
        <v>648</v>
      </c>
      <c r="F49" s="176"/>
      <c r="G49" s="177" t="n">
        <v>0.96</v>
      </c>
      <c r="H49" s="174"/>
    </row>
    <row r="50" customFormat="false" ht="15" hidden="false" customHeight="false" outlineLevel="0" collapsed="false">
      <c r="A50" s="134"/>
      <c r="B50" s="134"/>
      <c r="C50" s="134"/>
      <c r="D50" s="175" t="s">
        <v>649</v>
      </c>
      <c r="E50" s="176" t="s">
        <v>650</v>
      </c>
      <c r="F50" s="176"/>
      <c r="G50" s="177" t="n">
        <v>0.064</v>
      </c>
      <c r="H50" s="138"/>
    </row>
    <row r="51" customFormat="false" ht="15" hidden="false" customHeight="true" outlineLevel="0" collapsed="false">
      <c r="A51" s="134" t="s">
        <v>149</v>
      </c>
      <c r="B51" s="134" t="s">
        <v>104</v>
      </c>
      <c r="C51" s="134" t="s">
        <v>195</v>
      </c>
      <c r="D51" s="135" t="s">
        <v>196</v>
      </c>
      <c r="E51" s="135"/>
      <c r="F51" s="134" t="s">
        <v>189</v>
      </c>
      <c r="G51" s="137" t="n">
        <v>0.51</v>
      </c>
      <c r="H51" s="137" t="n">
        <v>0</v>
      </c>
    </row>
    <row r="52" customFormat="false" ht="15" hidden="false" customHeight="false" outlineLevel="0" collapsed="false">
      <c r="A52" s="174"/>
      <c r="B52" s="174"/>
      <c r="C52" s="174"/>
      <c r="D52" s="175" t="s">
        <v>651</v>
      </c>
      <c r="E52" s="176" t="s">
        <v>652</v>
      </c>
      <c r="F52" s="176"/>
      <c r="G52" s="177" t="n">
        <v>0.15</v>
      </c>
      <c r="H52" s="174"/>
    </row>
    <row r="53" customFormat="false" ht="15" hidden="false" customHeight="false" outlineLevel="0" collapsed="false">
      <c r="A53" s="134"/>
      <c r="B53" s="134"/>
      <c r="C53" s="134"/>
      <c r="D53" s="175" t="s">
        <v>653</v>
      </c>
      <c r="E53" s="176" t="s">
        <v>654</v>
      </c>
      <c r="F53" s="176"/>
      <c r="G53" s="177" t="n">
        <v>0.36</v>
      </c>
      <c r="H53" s="138"/>
    </row>
    <row r="54" customFormat="false" ht="15" hidden="false" customHeight="true" outlineLevel="0" collapsed="false">
      <c r="A54" s="134" t="s">
        <v>199</v>
      </c>
      <c r="B54" s="134" t="s">
        <v>104</v>
      </c>
      <c r="C54" s="134" t="s">
        <v>200</v>
      </c>
      <c r="D54" s="135" t="s">
        <v>201</v>
      </c>
      <c r="E54" s="135"/>
      <c r="F54" s="134" t="s">
        <v>202</v>
      </c>
      <c r="G54" s="137" t="n">
        <v>210.3</v>
      </c>
      <c r="H54" s="137" t="n">
        <v>0</v>
      </c>
    </row>
    <row r="55" customFormat="false" ht="15" hidden="false" customHeight="false" outlineLevel="0" collapsed="false">
      <c r="A55" s="174"/>
      <c r="B55" s="174"/>
      <c r="C55" s="174"/>
      <c r="D55" s="175" t="s">
        <v>655</v>
      </c>
      <c r="E55" s="176"/>
      <c r="F55" s="176"/>
      <c r="G55" s="177" t="n">
        <v>210.3</v>
      </c>
      <c r="H55" s="174"/>
    </row>
    <row r="56" customFormat="false" ht="15" hidden="false" customHeight="true" outlineLevel="0" collapsed="false">
      <c r="A56" s="134" t="s">
        <v>206</v>
      </c>
      <c r="B56" s="134" t="s">
        <v>104</v>
      </c>
      <c r="C56" s="134" t="s">
        <v>207</v>
      </c>
      <c r="D56" s="135" t="s">
        <v>208</v>
      </c>
      <c r="E56" s="135"/>
      <c r="F56" s="134" t="s">
        <v>179</v>
      </c>
      <c r="G56" s="137" t="n">
        <v>8.89</v>
      </c>
      <c r="H56" s="137" t="n">
        <v>0</v>
      </c>
    </row>
    <row r="57" customFormat="false" ht="15" hidden="false" customHeight="false" outlineLevel="0" collapsed="false">
      <c r="A57" s="174"/>
      <c r="B57" s="174"/>
      <c r="C57" s="174"/>
      <c r="D57" s="175" t="s">
        <v>656</v>
      </c>
      <c r="E57" s="176"/>
      <c r="F57" s="176"/>
      <c r="G57" s="177" t="n">
        <v>8.89</v>
      </c>
      <c r="H57" s="174"/>
    </row>
    <row r="58" customFormat="false" ht="15" hidden="false" customHeight="true" outlineLevel="0" collapsed="false">
      <c r="A58" s="134" t="s">
        <v>210</v>
      </c>
      <c r="B58" s="134" t="s">
        <v>104</v>
      </c>
      <c r="C58" s="134" t="s">
        <v>211</v>
      </c>
      <c r="D58" s="135" t="s">
        <v>212</v>
      </c>
      <c r="E58" s="135"/>
      <c r="F58" s="134" t="s">
        <v>179</v>
      </c>
      <c r="G58" s="137" t="n">
        <v>17.78</v>
      </c>
      <c r="H58" s="137" t="n">
        <v>0</v>
      </c>
    </row>
    <row r="59" customFormat="false" ht="15" hidden="false" customHeight="false" outlineLevel="0" collapsed="false">
      <c r="A59" s="174"/>
      <c r="B59" s="174"/>
      <c r="C59" s="174"/>
      <c r="D59" s="175" t="s">
        <v>657</v>
      </c>
      <c r="E59" s="176"/>
      <c r="F59" s="176"/>
      <c r="G59" s="177" t="n">
        <v>17.78</v>
      </c>
      <c r="H59" s="174"/>
    </row>
    <row r="60" customFormat="false" ht="15" hidden="false" customHeight="true" outlineLevel="0" collapsed="false">
      <c r="A60" s="134" t="s">
        <v>213</v>
      </c>
      <c r="B60" s="134" t="s">
        <v>104</v>
      </c>
      <c r="C60" s="134" t="s">
        <v>214</v>
      </c>
      <c r="D60" s="135" t="s">
        <v>215</v>
      </c>
      <c r="E60" s="135"/>
      <c r="F60" s="134" t="s">
        <v>179</v>
      </c>
      <c r="G60" s="137" t="n">
        <v>10.331</v>
      </c>
      <c r="H60" s="137" t="n">
        <v>0</v>
      </c>
    </row>
    <row r="61" customFormat="false" ht="15" hidden="false" customHeight="false" outlineLevel="0" collapsed="false">
      <c r="A61" s="174"/>
      <c r="B61" s="174"/>
      <c r="C61" s="174"/>
      <c r="D61" s="175" t="s">
        <v>658</v>
      </c>
      <c r="E61" s="176"/>
      <c r="F61" s="176"/>
      <c r="G61" s="177" t="n">
        <v>10.331</v>
      </c>
      <c r="H61" s="174"/>
    </row>
    <row r="62" customFormat="false" ht="15" hidden="false" customHeight="true" outlineLevel="0" collapsed="false">
      <c r="A62" s="134" t="s">
        <v>216</v>
      </c>
      <c r="B62" s="134" t="s">
        <v>104</v>
      </c>
      <c r="C62" s="134" t="s">
        <v>217</v>
      </c>
      <c r="D62" s="135" t="s">
        <v>218</v>
      </c>
      <c r="E62" s="135"/>
      <c r="F62" s="134" t="s">
        <v>179</v>
      </c>
      <c r="G62" s="137" t="n">
        <v>10.331</v>
      </c>
      <c r="H62" s="137" t="n">
        <v>0</v>
      </c>
    </row>
    <row r="63" customFormat="false" ht="15" hidden="false" customHeight="false" outlineLevel="0" collapsed="false">
      <c r="A63" s="174"/>
      <c r="B63" s="174"/>
      <c r="C63" s="174"/>
      <c r="D63" s="175" t="s">
        <v>659</v>
      </c>
      <c r="E63" s="176"/>
      <c r="F63" s="176"/>
      <c r="G63" s="177" t="n">
        <v>10.331</v>
      </c>
      <c r="H63" s="174"/>
    </row>
    <row r="64" customFormat="false" ht="15" hidden="false" customHeight="true" outlineLevel="0" collapsed="false">
      <c r="A64" s="134" t="s">
        <v>219</v>
      </c>
      <c r="B64" s="134" t="s">
        <v>104</v>
      </c>
      <c r="C64" s="134" t="s">
        <v>220</v>
      </c>
      <c r="D64" s="135" t="s">
        <v>221</v>
      </c>
      <c r="E64" s="135"/>
      <c r="F64" s="134" t="s">
        <v>179</v>
      </c>
      <c r="G64" s="137" t="n">
        <v>154.965</v>
      </c>
      <c r="H64" s="137" t="n">
        <v>0</v>
      </c>
    </row>
    <row r="65" customFormat="false" ht="15" hidden="false" customHeight="false" outlineLevel="0" collapsed="false">
      <c r="A65" s="174"/>
      <c r="B65" s="174"/>
      <c r="C65" s="174"/>
      <c r="D65" s="175" t="s">
        <v>660</v>
      </c>
      <c r="E65" s="176"/>
      <c r="F65" s="176"/>
      <c r="G65" s="177" t="n">
        <v>154.965</v>
      </c>
      <c r="H65" s="174"/>
    </row>
    <row r="66" customFormat="false" ht="15" hidden="false" customHeight="true" outlineLevel="0" collapsed="false">
      <c r="A66" s="134" t="s">
        <v>222</v>
      </c>
      <c r="B66" s="134" t="s">
        <v>104</v>
      </c>
      <c r="C66" s="134" t="s">
        <v>223</v>
      </c>
      <c r="D66" s="135" t="s">
        <v>224</v>
      </c>
      <c r="E66" s="135"/>
      <c r="F66" s="134" t="s">
        <v>179</v>
      </c>
      <c r="G66" s="137" t="n">
        <v>0.8</v>
      </c>
      <c r="H66" s="137" t="n">
        <v>0</v>
      </c>
    </row>
    <row r="67" customFormat="false" ht="15" hidden="false" customHeight="false" outlineLevel="0" collapsed="false">
      <c r="A67" s="174"/>
      <c r="B67" s="174"/>
      <c r="C67" s="174"/>
      <c r="D67" s="175" t="s">
        <v>661</v>
      </c>
      <c r="E67" s="176"/>
      <c r="F67" s="176"/>
      <c r="G67" s="177" t="n">
        <v>0.8</v>
      </c>
      <c r="H67" s="174"/>
    </row>
    <row r="68" customFormat="false" ht="15" hidden="false" customHeight="true" outlineLevel="0" collapsed="false">
      <c r="A68" s="134" t="s">
        <v>225</v>
      </c>
      <c r="B68" s="134" t="s">
        <v>104</v>
      </c>
      <c r="C68" s="134" t="s">
        <v>226</v>
      </c>
      <c r="D68" s="135" t="s">
        <v>227</v>
      </c>
      <c r="E68" s="135"/>
      <c r="F68" s="134" t="s">
        <v>179</v>
      </c>
      <c r="G68" s="137" t="n">
        <v>0.672</v>
      </c>
      <c r="H68" s="137" t="n">
        <v>0</v>
      </c>
    </row>
    <row r="69" customFormat="false" ht="15" hidden="false" customHeight="false" outlineLevel="0" collapsed="false">
      <c r="A69" s="174"/>
      <c r="B69" s="174"/>
      <c r="C69" s="174"/>
      <c r="D69" s="175" t="s">
        <v>662</v>
      </c>
      <c r="E69" s="176"/>
      <c r="F69" s="176"/>
      <c r="G69" s="177" t="n">
        <v>0.672</v>
      </c>
      <c r="H69" s="174"/>
    </row>
    <row r="70" customFormat="false" ht="24.05" hidden="false" customHeight="true" outlineLevel="0" collapsed="false">
      <c r="A70" s="134" t="s">
        <v>228</v>
      </c>
      <c r="B70" s="134" t="s">
        <v>104</v>
      </c>
      <c r="C70" s="134" t="s">
        <v>229</v>
      </c>
      <c r="D70" s="135" t="s">
        <v>230</v>
      </c>
      <c r="E70" s="135"/>
      <c r="F70" s="134" t="s">
        <v>179</v>
      </c>
      <c r="G70" s="137" t="n">
        <v>7.988</v>
      </c>
      <c r="H70" s="137" t="n">
        <v>0</v>
      </c>
    </row>
    <row r="71" customFormat="false" ht="15" hidden="false" customHeight="false" outlineLevel="0" collapsed="false">
      <c r="A71" s="174"/>
      <c r="B71" s="174"/>
      <c r="C71" s="174"/>
      <c r="D71" s="175" t="s">
        <v>663</v>
      </c>
      <c r="E71" s="176"/>
      <c r="F71" s="176"/>
      <c r="G71" s="177" t="n">
        <v>7.988</v>
      </c>
      <c r="H71" s="174"/>
    </row>
    <row r="72" customFormat="false" ht="15" hidden="false" customHeight="true" outlineLevel="0" collapsed="false">
      <c r="A72" s="134" t="s">
        <v>231</v>
      </c>
      <c r="B72" s="134" t="s">
        <v>104</v>
      </c>
      <c r="C72" s="134" t="s">
        <v>232</v>
      </c>
      <c r="D72" s="135" t="s">
        <v>233</v>
      </c>
      <c r="E72" s="135"/>
      <c r="F72" s="134" t="s">
        <v>179</v>
      </c>
      <c r="G72" s="137" t="n">
        <v>0.87</v>
      </c>
      <c r="H72" s="137" t="n">
        <v>0</v>
      </c>
    </row>
    <row r="73" customFormat="false" ht="15" hidden="false" customHeight="false" outlineLevel="0" collapsed="false">
      <c r="A73" s="174"/>
      <c r="B73" s="174"/>
      <c r="C73" s="174"/>
      <c r="D73" s="175" t="s">
        <v>664</v>
      </c>
      <c r="E73" s="176"/>
      <c r="F73" s="176"/>
      <c r="G73" s="177" t="n">
        <v>0.87</v>
      </c>
      <c r="H73" s="174"/>
    </row>
    <row r="74" customFormat="false" ht="15" hidden="false" customHeight="true" outlineLevel="0" collapsed="false">
      <c r="A74" s="134" t="s">
        <v>235</v>
      </c>
      <c r="B74" s="134" t="s">
        <v>107</v>
      </c>
      <c r="C74" s="134" t="s">
        <v>236</v>
      </c>
      <c r="D74" s="135" t="s">
        <v>237</v>
      </c>
      <c r="E74" s="135"/>
      <c r="F74" s="134" t="s">
        <v>189</v>
      </c>
      <c r="G74" s="137" t="n">
        <v>2.01</v>
      </c>
      <c r="H74" s="137" t="n">
        <v>0</v>
      </c>
    </row>
    <row r="75" customFormat="false" ht="15" hidden="false" customHeight="false" outlineLevel="0" collapsed="false">
      <c r="A75" s="174"/>
      <c r="B75" s="174"/>
      <c r="C75" s="174"/>
      <c r="D75" s="175" t="s">
        <v>665</v>
      </c>
      <c r="E75" s="176"/>
      <c r="F75" s="176"/>
      <c r="G75" s="177" t="n">
        <v>2.01</v>
      </c>
      <c r="H75" s="174"/>
    </row>
    <row r="76" customFormat="false" ht="15" hidden="false" customHeight="true" outlineLevel="0" collapsed="false">
      <c r="A76" s="134" t="s">
        <v>241</v>
      </c>
      <c r="B76" s="134" t="s">
        <v>107</v>
      </c>
      <c r="C76" s="134" t="s">
        <v>242</v>
      </c>
      <c r="D76" s="135" t="s">
        <v>243</v>
      </c>
      <c r="E76" s="135"/>
      <c r="F76" s="134" t="s">
        <v>189</v>
      </c>
      <c r="G76" s="137" t="n">
        <v>2.193</v>
      </c>
      <c r="H76" s="137" t="n">
        <v>0</v>
      </c>
    </row>
    <row r="77" customFormat="false" ht="15" hidden="false" customHeight="false" outlineLevel="0" collapsed="false">
      <c r="A77" s="174"/>
      <c r="B77" s="174"/>
      <c r="C77" s="174"/>
      <c r="D77" s="175" t="s">
        <v>666</v>
      </c>
      <c r="E77" s="176"/>
      <c r="F77" s="176"/>
      <c r="G77" s="177" t="n">
        <v>2.193</v>
      </c>
      <c r="H77" s="174"/>
    </row>
    <row r="78" customFormat="false" ht="15" hidden="false" customHeight="true" outlineLevel="0" collapsed="false">
      <c r="A78" s="134" t="s">
        <v>244</v>
      </c>
      <c r="B78" s="134" t="s">
        <v>107</v>
      </c>
      <c r="C78" s="134" t="s">
        <v>245</v>
      </c>
      <c r="D78" s="135" t="s">
        <v>246</v>
      </c>
      <c r="E78" s="135"/>
      <c r="F78" s="134" t="s">
        <v>189</v>
      </c>
      <c r="G78" s="137" t="n">
        <v>5.184</v>
      </c>
      <c r="H78" s="137" t="n">
        <v>0</v>
      </c>
    </row>
    <row r="79" customFormat="false" ht="15" hidden="false" customHeight="false" outlineLevel="0" collapsed="false">
      <c r="A79" s="174"/>
      <c r="B79" s="174"/>
      <c r="C79" s="174"/>
      <c r="D79" s="175" t="s">
        <v>667</v>
      </c>
      <c r="E79" s="176"/>
      <c r="F79" s="176"/>
      <c r="G79" s="177" t="n">
        <v>5.184</v>
      </c>
      <c r="H79" s="174"/>
    </row>
    <row r="80" customFormat="false" ht="15" hidden="false" customHeight="true" outlineLevel="0" collapsed="false">
      <c r="A80" s="134" t="s">
        <v>247</v>
      </c>
      <c r="B80" s="134" t="s">
        <v>107</v>
      </c>
      <c r="C80" s="134" t="s">
        <v>248</v>
      </c>
      <c r="D80" s="135" t="s">
        <v>249</v>
      </c>
      <c r="E80" s="135"/>
      <c r="F80" s="134" t="s">
        <v>189</v>
      </c>
      <c r="G80" s="137" t="n">
        <v>3.906</v>
      </c>
      <c r="H80" s="137" t="n">
        <v>0</v>
      </c>
    </row>
    <row r="81" customFormat="false" ht="15" hidden="false" customHeight="false" outlineLevel="0" collapsed="false">
      <c r="A81" s="174"/>
      <c r="B81" s="174"/>
      <c r="C81" s="174"/>
      <c r="D81" s="175" t="s">
        <v>668</v>
      </c>
      <c r="E81" s="176"/>
      <c r="F81" s="176"/>
      <c r="G81" s="177" t="n">
        <v>3.906</v>
      </c>
      <c r="H81" s="174"/>
    </row>
    <row r="82" customFormat="false" ht="15" hidden="false" customHeight="true" outlineLevel="0" collapsed="false">
      <c r="A82" s="134" t="s">
        <v>250</v>
      </c>
      <c r="B82" s="134" t="s">
        <v>107</v>
      </c>
      <c r="C82" s="134" t="s">
        <v>251</v>
      </c>
      <c r="D82" s="135" t="s">
        <v>252</v>
      </c>
      <c r="E82" s="135"/>
      <c r="F82" s="134" t="s">
        <v>189</v>
      </c>
      <c r="G82" s="137" t="n">
        <v>1.96</v>
      </c>
      <c r="H82" s="137" t="n">
        <v>0</v>
      </c>
    </row>
    <row r="83" customFormat="false" ht="15" hidden="false" customHeight="false" outlineLevel="0" collapsed="false">
      <c r="A83" s="174"/>
      <c r="B83" s="174"/>
      <c r="C83" s="174"/>
      <c r="D83" s="175" t="s">
        <v>669</v>
      </c>
      <c r="E83" s="176"/>
      <c r="F83" s="176"/>
      <c r="G83" s="177" t="n">
        <v>1.96</v>
      </c>
      <c r="H83" s="174"/>
    </row>
    <row r="84" customFormat="false" ht="15" hidden="false" customHeight="true" outlineLevel="0" collapsed="false">
      <c r="A84" s="134" t="s">
        <v>253</v>
      </c>
      <c r="B84" s="134" t="s">
        <v>107</v>
      </c>
      <c r="C84" s="134" t="s">
        <v>254</v>
      </c>
      <c r="D84" s="135" t="s">
        <v>255</v>
      </c>
      <c r="E84" s="135"/>
      <c r="F84" s="134" t="s">
        <v>189</v>
      </c>
      <c r="G84" s="137" t="n">
        <v>1.96</v>
      </c>
      <c r="H84" s="137" t="n">
        <v>0</v>
      </c>
    </row>
    <row r="85" customFormat="false" ht="15" hidden="false" customHeight="false" outlineLevel="0" collapsed="false">
      <c r="A85" s="174"/>
      <c r="B85" s="174"/>
      <c r="C85" s="174"/>
      <c r="D85" s="175" t="s">
        <v>670</v>
      </c>
      <c r="E85" s="176"/>
      <c r="F85" s="176"/>
      <c r="G85" s="177" t="n">
        <v>1.96</v>
      </c>
      <c r="H85" s="174"/>
    </row>
    <row r="86" customFormat="false" ht="15" hidden="false" customHeight="true" outlineLevel="0" collapsed="false">
      <c r="A86" s="134" t="s">
        <v>256</v>
      </c>
      <c r="B86" s="134" t="s">
        <v>107</v>
      </c>
      <c r="C86" s="134" t="s">
        <v>257</v>
      </c>
      <c r="D86" s="135" t="s">
        <v>258</v>
      </c>
      <c r="E86" s="135"/>
      <c r="F86" s="134" t="s">
        <v>189</v>
      </c>
      <c r="G86" s="137" t="n">
        <v>3.92</v>
      </c>
      <c r="H86" s="137" t="n">
        <v>0</v>
      </c>
    </row>
    <row r="87" customFormat="false" ht="15" hidden="false" customHeight="false" outlineLevel="0" collapsed="false">
      <c r="A87" s="174"/>
      <c r="B87" s="174"/>
      <c r="C87" s="174"/>
      <c r="D87" s="175" t="s">
        <v>671</v>
      </c>
      <c r="E87" s="176"/>
      <c r="F87" s="176"/>
      <c r="G87" s="177" t="n">
        <v>3.92</v>
      </c>
      <c r="H87" s="174"/>
    </row>
    <row r="88" customFormat="false" ht="15" hidden="false" customHeight="true" outlineLevel="0" collapsed="false">
      <c r="A88" s="134" t="s">
        <v>259</v>
      </c>
      <c r="B88" s="134" t="s">
        <v>107</v>
      </c>
      <c r="C88" s="134" t="s">
        <v>260</v>
      </c>
      <c r="D88" s="135" t="s">
        <v>261</v>
      </c>
      <c r="E88" s="135"/>
      <c r="F88" s="134" t="s">
        <v>189</v>
      </c>
      <c r="G88" s="137" t="n">
        <v>13.293</v>
      </c>
      <c r="H88" s="137" t="n">
        <v>0</v>
      </c>
    </row>
    <row r="89" customFormat="false" ht="15" hidden="false" customHeight="false" outlineLevel="0" collapsed="false">
      <c r="A89" s="174"/>
      <c r="B89" s="174"/>
      <c r="C89" s="174"/>
      <c r="D89" s="175" t="s">
        <v>672</v>
      </c>
      <c r="E89" s="176"/>
      <c r="F89" s="176"/>
      <c r="G89" s="177" t="n">
        <v>13.293</v>
      </c>
      <c r="H89" s="174"/>
    </row>
    <row r="90" customFormat="false" ht="15" hidden="false" customHeight="true" outlineLevel="0" collapsed="false">
      <c r="A90" s="134" t="s">
        <v>262</v>
      </c>
      <c r="B90" s="134" t="s">
        <v>107</v>
      </c>
      <c r="C90" s="134" t="s">
        <v>263</v>
      </c>
      <c r="D90" s="135" t="s">
        <v>264</v>
      </c>
      <c r="E90" s="135"/>
      <c r="F90" s="134" t="s">
        <v>189</v>
      </c>
      <c r="G90" s="137" t="n">
        <v>0.98</v>
      </c>
      <c r="H90" s="137" t="n">
        <v>0</v>
      </c>
    </row>
    <row r="91" customFormat="false" ht="15" hidden="false" customHeight="false" outlineLevel="0" collapsed="false">
      <c r="A91" s="174"/>
      <c r="B91" s="174"/>
      <c r="C91" s="174"/>
      <c r="D91" s="175" t="s">
        <v>673</v>
      </c>
      <c r="E91" s="176"/>
      <c r="F91" s="176"/>
      <c r="G91" s="177" t="n">
        <v>0.98</v>
      </c>
      <c r="H91" s="174"/>
    </row>
    <row r="92" customFormat="false" ht="15" hidden="false" customHeight="true" outlineLevel="0" collapsed="false">
      <c r="A92" s="134" t="s">
        <v>265</v>
      </c>
      <c r="B92" s="134" t="s">
        <v>107</v>
      </c>
      <c r="C92" s="134" t="s">
        <v>266</v>
      </c>
      <c r="D92" s="135" t="s">
        <v>267</v>
      </c>
      <c r="E92" s="135"/>
      <c r="F92" s="134" t="s">
        <v>189</v>
      </c>
      <c r="G92" s="137" t="n">
        <v>14.7</v>
      </c>
      <c r="H92" s="137" t="n">
        <v>0</v>
      </c>
    </row>
    <row r="93" customFormat="false" ht="15" hidden="false" customHeight="false" outlineLevel="0" collapsed="false">
      <c r="A93" s="174"/>
      <c r="B93" s="174"/>
      <c r="C93" s="174"/>
      <c r="D93" s="175" t="s">
        <v>674</v>
      </c>
      <c r="E93" s="176"/>
      <c r="F93" s="176"/>
      <c r="G93" s="177" t="n">
        <v>14.7</v>
      </c>
      <c r="H93" s="174"/>
    </row>
    <row r="94" customFormat="false" ht="15" hidden="false" customHeight="true" outlineLevel="0" collapsed="false">
      <c r="A94" s="134" t="s">
        <v>268</v>
      </c>
      <c r="B94" s="134" t="s">
        <v>107</v>
      </c>
      <c r="C94" s="134" t="s">
        <v>263</v>
      </c>
      <c r="D94" s="135" t="s">
        <v>269</v>
      </c>
      <c r="E94" s="135"/>
      <c r="F94" s="134" t="s">
        <v>189</v>
      </c>
      <c r="G94" s="137" t="n">
        <v>12.313</v>
      </c>
      <c r="H94" s="137" t="n">
        <v>0</v>
      </c>
    </row>
    <row r="95" customFormat="false" ht="15" hidden="false" customHeight="false" outlineLevel="0" collapsed="false">
      <c r="A95" s="174"/>
      <c r="B95" s="174"/>
      <c r="C95" s="174"/>
      <c r="D95" s="175" t="s">
        <v>675</v>
      </c>
      <c r="E95" s="176"/>
      <c r="F95" s="176"/>
      <c r="G95" s="177" t="n">
        <v>12.313</v>
      </c>
      <c r="H95" s="174"/>
    </row>
    <row r="96" customFormat="false" ht="15" hidden="false" customHeight="true" outlineLevel="0" collapsed="false">
      <c r="A96" s="134" t="s">
        <v>270</v>
      </c>
      <c r="B96" s="134" t="s">
        <v>107</v>
      </c>
      <c r="C96" s="134" t="s">
        <v>266</v>
      </c>
      <c r="D96" s="135" t="s">
        <v>267</v>
      </c>
      <c r="E96" s="135"/>
      <c r="F96" s="134" t="s">
        <v>189</v>
      </c>
      <c r="G96" s="137" t="n">
        <v>184.695</v>
      </c>
      <c r="H96" s="137" t="n">
        <v>0</v>
      </c>
    </row>
    <row r="97" customFormat="false" ht="15" hidden="false" customHeight="false" outlineLevel="0" collapsed="false">
      <c r="A97" s="174"/>
      <c r="B97" s="174"/>
      <c r="C97" s="174"/>
      <c r="D97" s="175" t="s">
        <v>676</v>
      </c>
      <c r="E97" s="176"/>
      <c r="F97" s="176"/>
      <c r="G97" s="177" t="n">
        <v>184.695</v>
      </c>
      <c r="H97" s="174"/>
    </row>
    <row r="98" customFormat="false" ht="15" hidden="false" customHeight="true" outlineLevel="0" collapsed="false">
      <c r="A98" s="134" t="s">
        <v>271</v>
      </c>
      <c r="B98" s="134" t="s">
        <v>107</v>
      </c>
      <c r="C98" s="134" t="s">
        <v>272</v>
      </c>
      <c r="D98" s="135" t="s">
        <v>273</v>
      </c>
      <c r="E98" s="135"/>
      <c r="F98" s="134" t="s">
        <v>189</v>
      </c>
      <c r="G98" s="137" t="n">
        <v>12.313</v>
      </c>
      <c r="H98" s="137" t="n">
        <v>0</v>
      </c>
    </row>
    <row r="99" customFormat="false" ht="15" hidden="false" customHeight="false" outlineLevel="0" collapsed="false">
      <c r="A99" s="174"/>
      <c r="B99" s="174"/>
      <c r="C99" s="174"/>
      <c r="D99" s="175" t="s">
        <v>677</v>
      </c>
      <c r="E99" s="176"/>
      <c r="F99" s="176"/>
      <c r="G99" s="177" t="n">
        <v>12.313</v>
      </c>
      <c r="H99" s="174"/>
    </row>
    <row r="100" customFormat="false" ht="15" hidden="false" customHeight="true" outlineLevel="0" collapsed="false">
      <c r="A100" s="134" t="s">
        <v>276</v>
      </c>
      <c r="B100" s="134" t="s">
        <v>107</v>
      </c>
      <c r="C100" s="134" t="s">
        <v>277</v>
      </c>
      <c r="D100" s="135" t="s">
        <v>278</v>
      </c>
      <c r="E100" s="135"/>
      <c r="F100" s="134" t="s">
        <v>169</v>
      </c>
      <c r="G100" s="137" t="n">
        <v>6.7</v>
      </c>
      <c r="H100" s="137" t="n">
        <v>0</v>
      </c>
    </row>
    <row r="101" customFormat="false" ht="15" hidden="false" customHeight="false" outlineLevel="0" collapsed="false">
      <c r="A101" s="174"/>
      <c r="B101" s="174"/>
      <c r="C101" s="174"/>
      <c r="D101" s="175" t="s">
        <v>678</v>
      </c>
      <c r="E101" s="176"/>
      <c r="F101" s="176"/>
      <c r="G101" s="177" t="n">
        <v>6.7</v>
      </c>
      <c r="H101" s="174"/>
    </row>
    <row r="102" customFormat="false" ht="15" hidden="false" customHeight="true" outlineLevel="0" collapsed="false">
      <c r="A102" s="134" t="s">
        <v>281</v>
      </c>
      <c r="B102" s="134" t="s">
        <v>107</v>
      </c>
      <c r="C102" s="134" t="s">
        <v>282</v>
      </c>
      <c r="D102" s="135" t="s">
        <v>283</v>
      </c>
      <c r="E102" s="135"/>
      <c r="F102" s="134" t="s">
        <v>169</v>
      </c>
      <c r="G102" s="137" t="n">
        <v>6.7</v>
      </c>
      <c r="H102" s="137" t="n">
        <v>0</v>
      </c>
    </row>
    <row r="103" customFormat="false" ht="15" hidden="false" customHeight="false" outlineLevel="0" collapsed="false">
      <c r="A103" s="174"/>
      <c r="B103" s="174"/>
      <c r="C103" s="174"/>
      <c r="D103" s="175" t="s">
        <v>678</v>
      </c>
      <c r="E103" s="176"/>
      <c r="F103" s="176"/>
      <c r="G103" s="177" t="n">
        <v>6.7</v>
      </c>
      <c r="H103" s="174"/>
    </row>
    <row r="104" customFormat="false" ht="24.05" hidden="false" customHeight="true" outlineLevel="0" collapsed="false">
      <c r="A104" s="139" t="s">
        <v>284</v>
      </c>
      <c r="B104" s="139" t="s">
        <v>107</v>
      </c>
      <c r="C104" s="139" t="s">
        <v>285</v>
      </c>
      <c r="D104" s="140" t="s">
        <v>286</v>
      </c>
      <c r="E104" s="140"/>
      <c r="F104" s="139" t="s">
        <v>169</v>
      </c>
      <c r="G104" s="142" t="n">
        <v>6.767</v>
      </c>
      <c r="H104" s="142" t="n">
        <v>0</v>
      </c>
    </row>
    <row r="105" customFormat="false" ht="15" hidden="false" customHeight="false" outlineLevel="0" collapsed="false">
      <c r="A105" s="174"/>
      <c r="B105" s="174"/>
      <c r="C105" s="174"/>
      <c r="D105" s="175" t="s">
        <v>678</v>
      </c>
      <c r="E105" s="176"/>
      <c r="F105" s="176"/>
      <c r="G105" s="178" t="n">
        <v>6.7</v>
      </c>
      <c r="H105" s="174"/>
    </row>
    <row r="106" customFormat="false" ht="15" hidden="false" customHeight="false" outlineLevel="0" collapsed="false">
      <c r="A106" s="139"/>
      <c r="B106" s="139"/>
      <c r="C106" s="139"/>
      <c r="D106" s="175" t="s">
        <v>679</v>
      </c>
      <c r="E106" s="176"/>
      <c r="F106" s="176"/>
      <c r="G106" s="178" t="n">
        <v>0.067</v>
      </c>
      <c r="H106" s="143"/>
    </row>
    <row r="107" customFormat="false" ht="15" hidden="false" customHeight="true" outlineLevel="0" collapsed="false">
      <c r="A107" s="134" t="s">
        <v>287</v>
      </c>
      <c r="B107" s="134" t="s">
        <v>107</v>
      </c>
      <c r="C107" s="134" t="s">
        <v>288</v>
      </c>
      <c r="D107" s="135" t="s">
        <v>289</v>
      </c>
      <c r="E107" s="135"/>
      <c r="F107" s="134" t="s">
        <v>169</v>
      </c>
      <c r="G107" s="137" t="n">
        <v>6.7</v>
      </c>
      <c r="H107" s="137" t="n">
        <v>0</v>
      </c>
    </row>
    <row r="108" customFormat="false" ht="15" hidden="false" customHeight="false" outlineLevel="0" collapsed="false">
      <c r="A108" s="174"/>
      <c r="B108" s="174"/>
      <c r="C108" s="174"/>
      <c r="D108" s="175" t="s">
        <v>678</v>
      </c>
      <c r="E108" s="176"/>
      <c r="F108" s="176"/>
      <c r="G108" s="177" t="n">
        <v>6.7</v>
      </c>
      <c r="H108" s="174"/>
    </row>
    <row r="109" customFormat="false" ht="15" hidden="false" customHeight="true" outlineLevel="0" collapsed="false">
      <c r="A109" s="134" t="s">
        <v>290</v>
      </c>
      <c r="B109" s="134" t="s">
        <v>107</v>
      </c>
      <c r="C109" s="134" t="s">
        <v>291</v>
      </c>
      <c r="D109" s="135" t="s">
        <v>292</v>
      </c>
      <c r="E109" s="135"/>
      <c r="F109" s="134" t="s">
        <v>154</v>
      </c>
      <c r="G109" s="137" t="n">
        <v>5.8</v>
      </c>
      <c r="H109" s="137" t="n">
        <v>0</v>
      </c>
    </row>
    <row r="110" customFormat="false" ht="15" hidden="false" customHeight="false" outlineLevel="0" collapsed="false">
      <c r="A110" s="174"/>
      <c r="B110" s="174"/>
      <c r="C110" s="174"/>
      <c r="D110" s="175" t="s">
        <v>680</v>
      </c>
      <c r="E110" s="176"/>
      <c r="F110" s="176"/>
      <c r="G110" s="177" t="n">
        <v>5.8</v>
      </c>
      <c r="H110" s="174"/>
    </row>
    <row r="111" customFormat="false" ht="24.05" hidden="false" customHeight="true" outlineLevel="0" collapsed="false">
      <c r="A111" s="134" t="s">
        <v>293</v>
      </c>
      <c r="B111" s="134" t="s">
        <v>107</v>
      </c>
      <c r="C111" s="134" t="s">
        <v>294</v>
      </c>
      <c r="D111" s="135" t="s">
        <v>295</v>
      </c>
      <c r="E111" s="135"/>
      <c r="F111" s="134" t="s">
        <v>189</v>
      </c>
      <c r="G111" s="137" t="n">
        <v>1.928</v>
      </c>
      <c r="H111" s="137" t="n">
        <v>0</v>
      </c>
    </row>
    <row r="112" customFormat="false" ht="15" hidden="false" customHeight="false" outlineLevel="0" collapsed="false">
      <c r="A112" s="174"/>
      <c r="B112" s="174"/>
      <c r="C112" s="174"/>
      <c r="D112" s="175" t="s">
        <v>681</v>
      </c>
      <c r="E112" s="176"/>
      <c r="F112" s="176"/>
      <c r="G112" s="177" t="n">
        <v>1.928</v>
      </c>
      <c r="H112" s="174"/>
    </row>
    <row r="113" customFormat="false" ht="15" hidden="false" customHeight="true" outlineLevel="0" collapsed="false">
      <c r="A113" s="134" t="s">
        <v>296</v>
      </c>
      <c r="B113" s="134" t="s">
        <v>107</v>
      </c>
      <c r="C113" s="134" t="s">
        <v>297</v>
      </c>
      <c r="D113" s="135" t="s">
        <v>298</v>
      </c>
      <c r="E113" s="135"/>
      <c r="F113" s="134" t="s">
        <v>169</v>
      </c>
      <c r="G113" s="137" t="n">
        <v>70.1</v>
      </c>
      <c r="H113" s="137" t="n">
        <v>0</v>
      </c>
    </row>
    <row r="114" customFormat="false" ht="15" hidden="false" customHeight="false" outlineLevel="0" collapsed="false">
      <c r="A114" s="174"/>
      <c r="B114" s="174"/>
      <c r="C114" s="174"/>
      <c r="D114" s="175" t="s">
        <v>682</v>
      </c>
      <c r="E114" s="176"/>
      <c r="F114" s="176"/>
      <c r="G114" s="177" t="n">
        <v>70.1</v>
      </c>
      <c r="H114" s="174"/>
    </row>
    <row r="115" customFormat="false" ht="15" hidden="false" customHeight="true" outlineLevel="0" collapsed="false">
      <c r="A115" s="139" t="s">
        <v>299</v>
      </c>
      <c r="B115" s="139" t="s">
        <v>107</v>
      </c>
      <c r="C115" s="139" t="s">
        <v>300</v>
      </c>
      <c r="D115" s="140" t="s">
        <v>301</v>
      </c>
      <c r="E115" s="140"/>
      <c r="F115" s="139" t="s">
        <v>169</v>
      </c>
      <c r="G115" s="142" t="n">
        <v>71.502</v>
      </c>
      <c r="H115" s="142" t="n">
        <v>0</v>
      </c>
    </row>
    <row r="116" customFormat="false" ht="15" hidden="false" customHeight="false" outlineLevel="0" collapsed="false">
      <c r="A116" s="174"/>
      <c r="B116" s="174"/>
      <c r="C116" s="174"/>
      <c r="D116" s="175" t="s">
        <v>682</v>
      </c>
      <c r="E116" s="176"/>
      <c r="F116" s="176"/>
      <c r="G116" s="178" t="n">
        <v>70.1</v>
      </c>
      <c r="H116" s="174"/>
    </row>
    <row r="117" customFormat="false" ht="15" hidden="false" customHeight="false" outlineLevel="0" collapsed="false">
      <c r="A117" s="139"/>
      <c r="B117" s="139"/>
      <c r="C117" s="139"/>
      <c r="D117" s="175" t="s">
        <v>683</v>
      </c>
      <c r="E117" s="176"/>
      <c r="F117" s="176"/>
      <c r="G117" s="178" t="n">
        <v>1.402</v>
      </c>
      <c r="H117" s="143"/>
    </row>
    <row r="118" customFormat="false" ht="15" hidden="false" customHeight="true" outlineLevel="0" collapsed="false">
      <c r="A118" s="134" t="s">
        <v>302</v>
      </c>
      <c r="B118" s="134" t="s">
        <v>107</v>
      </c>
      <c r="C118" s="134" t="s">
        <v>303</v>
      </c>
      <c r="D118" s="135" t="s">
        <v>304</v>
      </c>
      <c r="E118" s="135"/>
      <c r="F118" s="134" t="s">
        <v>154</v>
      </c>
      <c r="G118" s="137" t="n">
        <v>45.7</v>
      </c>
      <c r="H118" s="137" t="n">
        <v>0</v>
      </c>
    </row>
    <row r="119" customFormat="false" ht="15" hidden="false" customHeight="false" outlineLevel="0" collapsed="false">
      <c r="A119" s="174"/>
      <c r="B119" s="174"/>
      <c r="C119" s="174"/>
      <c r="D119" s="175" t="s">
        <v>684</v>
      </c>
      <c r="E119" s="176"/>
      <c r="F119" s="176"/>
      <c r="G119" s="177" t="n">
        <v>45.7</v>
      </c>
      <c r="H119" s="174"/>
    </row>
    <row r="120" customFormat="false" ht="15" hidden="false" customHeight="true" outlineLevel="0" collapsed="false">
      <c r="A120" s="134" t="s">
        <v>305</v>
      </c>
      <c r="B120" s="134" t="s">
        <v>107</v>
      </c>
      <c r="C120" s="134" t="s">
        <v>306</v>
      </c>
      <c r="D120" s="135" t="s">
        <v>307</v>
      </c>
      <c r="E120" s="135"/>
      <c r="F120" s="134" t="s">
        <v>202</v>
      </c>
      <c r="G120" s="137" t="n">
        <v>1</v>
      </c>
      <c r="H120" s="137" t="n">
        <v>0</v>
      </c>
    </row>
    <row r="121" customFormat="false" ht="15" hidden="false" customHeight="false" outlineLevel="0" collapsed="false">
      <c r="A121" s="174"/>
      <c r="B121" s="174"/>
      <c r="C121" s="174"/>
      <c r="D121" s="175" t="s">
        <v>151</v>
      </c>
      <c r="E121" s="176"/>
      <c r="F121" s="176"/>
      <c r="G121" s="177" t="n">
        <v>1</v>
      </c>
      <c r="H121" s="174"/>
    </row>
    <row r="122" customFormat="false" ht="15" hidden="false" customHeight="true" outlineLevel="0" collapsed="false">
      <c r="A122" s="139" t="s">
        <v>308</v>
      </c>
      <c r="B122" s="139" t="s">
        <v>107</v>
      </c>
      <c r="C122" s="139" t="s">
        <v>309</v>
      </c>
      <c r="D122" s="140" t="s">
        <v>310</v>
      </c>
      <c r="E122" s="140"/>
      <c r="F122" s="139" t="s">
        <v>202</v>
      </c>
      <c r="G122" s="142" t="n">
        <v>1</v>
      </c>
      <c r="H122" s="142" t="n">
        <v>0</v>
      </c>
    </row>
    <row r="123" customFormat="false" ht="15" hidden="false" customHeight="false" outlineLevel="0" collapsed="false">
      <c r="A123" s="174"/>
      <c r="B123" s="174"/>
      <c r="C123" s="174"/>
      <c r="D123" s="175" t="s">
        <v>151</v>
      </c>
      <c r="E123" s="176"/>
      <c r="F123" s="176"/>
      <c r="G123" s="178" t="n">
        <v>1</v>
      </c>
      <c r="H123" s="174"/>
    </row>
    <row r="124" customFormat="false" ht="15" hidden="false" customHeight="true" outlineLevel="0" collapsed="false">
      <c r="A124" s="134" t="s">
        <v>311</v>
      </c>
      <c r="B124" s="134" t="s">
        <v>107</v>
      </c>
      <c r="C124" s="134" t="s">
        <v>312</v>
      </c>
      <c r="D124" s="135" t="s">
        <v>313</v>
      </c>
      <c r="E124" s="135"/>
      <c r="F124" s="134" t="s">
        <v>154</v>
      </c>
      <c r="G124" s="137" t="n">
        <v>3.5</v>
      </c>
      <c r="H124" s="137" t="n">
        <v>0</v>
      </c>
    </row>
    <row r="125" customFormat="false" ht="15" hidden="false" customHeight="false" outlineLevel="0" collapsed="false">
      <c r="A125" s="174"/>
      <c r="B125" s="174"/>
      <c r="C125" s="174"/>
      <c r="D125" s="175" t="s">
        <v>685</v>
      </c>
      <c r="E125" s="176"/>
      <c r="F125" s="176"/>
      <c r="G125" s="177" t="n">
        <v>3.5</v>
      </c>
      <c r="H125" s="174"/>
    </row>
    <row r="126" customFormat="false" ht="24.05" hidden="false" customHeight="true" outlineLevel="0" collapsed="false">
      <c r="A126" s="134" t="s">
        <v>314</v>
      </c>
      <c r="B126" s="134" t="s">
        <v>107</v>
      </c>
      <c r="C126" s="134" t="s">
        <v>315</v>
      </c>
      <c r="D126" s="135" t="s">
        <v>316</v>
      </c>
      <c r="E126" s="135"/>
      <c r="F126" s="134" t="s">
        <v>189</v>
      </c>
      <c r="G126" s="137" t="n">
        <v>4.26</v>
      </c>
      <c r="H126" s="137" t="n">
        <v>0</v>
      </c>
    </row>
    <row r="127" customFormat="false" ht="15" hidden="false" customHeight="false" outlineLevel="0" collapsed="false">
      <c r="A127" s="174"/>
      <c r="B127" s="174"/>
      <c r="C127" s="174"/>
      <c r="D127" s="175" t="s">
        <v>686</v>
      </c>
      <c r="E127" s="176"/>
      <c r="F127" s="176"/>
      <c r="G127" s="177" t="n">
        <v>4.26</v>
      </c>
      <c r="H127" s="174"/>
    </row>
    <row r="128" customFormat="false" ht="15" hidden="false" customHeight="true" outlineLevel="0" collapsed="false">
      <c r="A128" s="134" t="s">
        <v>317</v>
      </c>
      <c r="B128" s="134" t="s">
        <v>107</v>
      </c>
      <c r="C128" s="134" t="s">
        <v>318</v>
      </c>
      <c r="D128" s="135" t="s">
        <v>319</v>
      </c>
      <c r="E128" s="135"/>
      <c r="F128" s="134" t="s">
        <v>179</v>
      </c>
      <c r="G128" s="137" t="n">
        <v>35.207</v>
      </c>
      <c r="H128" s="137" t="n">
        <v>0</v>
      </c>
    </row>
    <row r="129" customFormat="false" ht="15" hidden="false" customHeight="false" outlineLevel="0" collapsed="false">
      <c r="A129" s="174"/>
      <c r="B129" s="174"/>
      <c r="C129" s="174"/>
      <c r="D129" s="175" t="s">
        <v>687</v>
      </c>
      <c r="E129" s="176"/>
      <c r="F129" s="176"/>
      <c r="G129" s="177" t="n">
        <v>35.207</v>
      </c>
      <c r="H129" s="174"/>
    </row>
    <row r="130" customFormat="false" ht="15" hidden="false" customHeight="true" outlineLevel="0" collapsed="false">
      <c r="A130" s="134" t="s">
        <v>322</v>
      </c>
      <c r="B130" s="134" t="s">
        <v>107</v>
      </c>
      <c r="C130" s="134" t="s">
        <v>323</v>
      </c>
      <c r="D130" s="135" t="s">
        <v>324</v>
      </c>
      <c r="E130" s="135"/>
      <c r="F130" s="134" t="s">
        <v>325</v>
      </c>
      <c r="G130" s="137" t="n">
        <v>433.512</v>
      </c>
      <c r="H130" s="137" t="n">
        <v>0</v>
      </c>
    </row>
    <row r="131" customFormat="false" ht="15" hidden="false" customHeight="false" outlineLevel="0" collapsed="false">
      <c r="A131" s="174"/>
      <c r="B131" s="174"/>
      <c r="C131" s="174"/>
      <c r="D131" s="175" t="s">
        <v>688</v>
      </c>
      <c r="E131" s="176"/>
      <c r="F131" s="176"/>
      <c r="G131" s="177" t="n">
        <v>28.512</v>
      </c>
      <c r="H131" s="174"/>
    </row>
    <row r="132" customFormat="false" ht="15" hidden="false" customHeight="false" outlineLevel="0" collapsed="false">
      <c r="A132" s="134"/>
      <c r="B132" s="134"/>
      <c r="C132" s="134"/>
      <c r="D132" s="175" t="s">
        <v>689</v>
      </c>
      <c r="E132" s="176"/>
      <c r="F132" s="176"/>
      <c r="G132" s="177" t="n">
        <v>405</v>
      </c>
      <c r="H132" s="138"/>
    </row>
    <row r="133" customFormat="false" ht="15" hidden="false" customHeight="true" outlineLevel="0" collapsed="false">
      <c r="A133" s="139" t="s">
        <v>328</v>
      </c>
      <c r="B133" s="139" t="s">
        <v>107</v>
      </c>
      <c r="C133" s="139" t="s">
        <v>329</v>
      </c>
      <c r="D133" s="140" t="s">
        <v>330</v>
      </c>
      <c r="E133" s="140"/>
      <c r="F133" s="139" t="s">
        <v>325</v>
      </c>
      <c r="G133" s="142" t="n">
        <v>31.363</v>
      </c>
      <c r="H133" s="142" t="n">
        <v>0</v>
      </c>
    </row>
    <row r="134" customFormat="false" ht="15" hidden="false" customHeight="false" outlineLevel="0" collapsed="false">
      <c r="A134" s="174"/>
      <c r="B134" s="174"/>
      <c r="C134" s="174"/>
      <c r="D134" s="175" t="s">
        <v>690</v>
      </c>
      <c r="E134" s="176" t="s">
        <v>691</v>
      </c>
      <c r="F134" s="176"/>
      <c r="G134" s="178" t="n">
        <v>13.035</v>
      </c>
      <c r="H134" s="174"/>
    </row>
    <row r="135" customFormat="false" ht="15" hidden="false" customHeight="false" outlineLevel="0" collapsed="false">
      <c r="A135" s="139"/>
      <c r="B135" s="139"/>
      <c r="C135" s="139"/>
      <c r="D135" s="175" t="s">
        <v>692</v>
      </c>
      <c r="E135" s="176" t="s">
        <v>693</v>
      </c>
      <c r="F135" s="176"/>
      <c r="G135" s="178" t="n">
        <v>5.914</v>
      </c>
      <c r="H135" s="143"/>
    </row>
    <row r="136" customFormat="false" ht="15" hidden="false" customHeight="false" outlineLevel="0" collapsed="false">
      <c r="A136" s="139"/>
      <c r="B136" s="139"/>
      <c r="C136" s="139"/>
      <c r="D136" s="175" t="s">
        <v>694</v>
      </c>
      <c r="E136" s="176" t="s">
        <v>695</v>
      </c>
      <c r="F136" s="176"/>
      <c r="G136" s="178" t="n">
        <v>9.563</v>
      </c>
      <c r="H136" s="143"/>
    </row>
    <row r="137" customFormat="false" ht="15" hidden="false" customHeight="false" outlineLevel="0" collapsed="false">
      <c r="A137" s="139"/>
      <c r="B137" s="139"/>
      <c r="C137" s="139"/>
      <c r="D137" s="175" t="s">
        <v>696</v>
      </c>
      <c r="E137" s="176"/>
      <c r="F137" s="176"/>
      <c r="G137" s="178" t="n">
        <v>2.851</v>
      </c>
      <c r="H137" s="143"/>
    </row>
    <row r="138" customFormat="false" ht="15" hidden="false" customHeight="true" outlineLevel="0" collapsed="false">
      <c r="A138" s="139" t="s">
        <v>331</v>
      </c>
      <c r="B138" s="139" t="s">
        <v>107</v>
      </c>
      <c r="C138" s="139" t="s">
        <v>329</v>
      </c>
      <c r="D138" s="140" t="s">
        <v>332</v>
      </c>
      <c r="E138" s="140"/>
      <c r="F138" s="139" t="s">
        <v>325</v>
      </c>
      <c r="G138" s="142" t="n">
        <v>445.5</v>
      </c>
      <c r="H138" s="142" t="n">
        <v>0</v>
      </c>
    </row>
    <row r="139" customFormat="false" ht="15" hidden="false" customHeight="false" outlineLevel="0" collapsed="false">
      <c r="A139" s="174"/>
      <c r="B139" s="174"/>
      <c r="C139" s="174"/>
      <c r="D139" s="175" t="s">
        <v>697</v>
      </c>
      <c r="E139" s="176" t="s">
        <v>691</v>
      </c>
      <c r="F139" s="176"/>
      <c r="G139" s="178" t="n">
        <v>185.16</v>
      </c>
      <c r="H139" s="174"/>
    </row>
    <row r="140" customFormat="false" ht="15" hidden="false" customHeight="false" outlineLevel="0" collapsed="false">
      <c r="A140" s="139"/>
      <c r="B140" s="139"/>
      <c r="C140" s="139"/>
      <c r="D140" s="175" t="s">
        <v>698</v>
      </c>
      <c r="E140" s="176" t="s">
        <v>693</v>
      </c>
      <c r="F140" s="176"/>
      <c r="G140" s="178" t="n">
        <v>84</v>
      </c>
      <c r="H140" s="143"/>
    </row>
    <row r="141" customFormat="false" ht="15" hidden="false" customHeight="false" outlineLevel="0" collapsed="false">
      <c r="A141" s="139"/>
      <c r="B141" s="139"/>
      <c r="C141" s="139"/>
      <c r="D141" s="175" t="s">
        <v>699</v>
      </c>
      <c r="E141" s="176" t="s">
        <v>695</v>
      </c>
      <c r="F141" s="176"/>
      <c r="G141" s="178" t="n">
        <v>135.84</v>
      </c>
      <c r="H141" s="143"/>
    </row>
    <row r="142" customFormat="false" ht="15" hidden="false" customHeight="false" outlineLevel="0" collapsed="false">
      <c r="A142" s="139"/>
      <c r="B142" s="139"/>
      <c r="C142" s="139"/>
      <c r="D142" s="175" t="s">
        <v>700</v>
      </c>
      <c r="E142" s="176"/>
      <c r="F142" s="176"/>
      <c r="G142" s="178" t="n">
        <v>40.5</v>
      </c>
      <c r="H142" s="143"/>
    </row>
    <row r="143" customFormat="false" ht="15" hidden="false" customHeight="true" outlineLevel="0" collapsed="false">
      <c r="A143" s="134" t="s">
        <v>333</v>
      </c>
      <c r="B143" s="134" t="s">
        <v>107</v>
      </c>
      <c r="C143" s="134" t="s">
        <v>334</v>
      </c>
      <c r="D143" s="135" t="s">
        <v>335</v>
      </c>
      <c r="E143" s="135"/>
      <c r="F143" s="134" t="s">
        <v>179</v>
      </c>
      <c r="G143" s="137" t="n">
        <v>0.498</v>
      </c>
      <c r="H143" s="137" t="n">
        <v>0</v>
      </c>
    </row>
    <row r="144" customFormat="false" ht="15" hidden="false" customHeight="false" outlineLevel="0" collapsed="false">
      <c r="A144" s="174"/>
      <c r="B144" s="174"/>
      <c r="C144" s="174"/>
      <c r="D144" s="175" t="s">
        <v>701</v>
      </c>
      <c r="E144" s="176"/>
      <c r="F144" s="176"/>
      <c r="G144" s="177" t="n">
        <v>0.498</v>
      </c>
      <c r="H144" s="174"/>
    </row>
    <row r="145" customFormat="false" ht="15" hidden="false" customHeight="true" outlineLevel="0" collapsed="false">
      <c r="A145" s="134" t="s">
        <v>338</v>
      </c>
      <c r="B145" s="134" t="s">
        <v>107</v>
      </c>
      <c r="C145" s="134" t="s">
        <v>339</v>
      </c>
      <c r="D145" s="135" t="s">
        <v>340</v>
      </c>
      <c r="E145" s="135"/>
      <c r="F145" s="134" t="s">
        <v>163</v>
      </c>
      <c r="G145" s="137" t="n">
        <v>8</v>
      </c>
      <c r="H145" s="137" t="n">
        <v>0</v>
      </c>
    </row>
    <row r="146" customFormat="false" ht="15" hidden="false" customHeight="false" outlineLevel="0" collapsed="false">
      <c r="A146" s="174"/>
      <c r="B146" s="174"/>
      <c r="C146" s="174"/>
      <c r="D146" s="175" t="s">
        <v>181</v>
      </c>
      <c r="E146" s="176"/>
      <c r="F146" s="176"/>
      <c r="G146" s="177" t="n">
        <v>8</v>
      </c>
      <c r="H146" s="174"/>
    </row>
    <row r="147" customFormat="false" ht="15" hidden="false" customHeight="true" outlineLevel="0" collapsed="false">
      <c r="A147" s="134" t="s">
        <v>343</v>
      </c>
      <c r="B147" s="134" t="s">
        <v>107</v>
      </c>
      <c r="C147" s="134" t="s">
        <v>344</v>
      </c>
      <c r="D147" s="135" t="s">
        <v>345</v>
      </c>
      <c r="E147" s="135"/>
      <c r="F147" s="134" t="s">
        <v>163</v>
      </c>
      <c r="G147" s="137" t="n">
        <v>8</v>
      </c>
      <c r="H147" s="137" t="n">
        <v>0</v>
      </c>
    </row>
    <row r="148" customFormat="false" ht="15" hidden="false" customHeight="false" outlineLevel="0" collapsed="false">
      <c r="A148" s="174"/>
      <c r="B148" s="174"/>
      <c r="C148" s="174"/>
      <c r="D148" s="175" t="s">
        <v>181</v>
      </c>
      <c r="E148" s="176"/>
      <c r="F148" s="176"/>
      <c r="G148" s="177" t="n">
        <v>8</v>
      </c>
      <c r="H148" s="174"/>
    </row>
    <row r="149" customFormat="false" ht="15" hidden="false" customHeight="true" outlineLevel="0" collapsed="false">
      <c r="A149" s="134" t="s">
        <v>348</v>
      </c>
      <c r="B149" s="134" t="s">
        <v>107</v>
      </c>
      <c r="C149" s="134" t="s">
        <v>349</v>
      </c>
      <c r="D149" s="135" t="s">
        <v>350</v>
      </c>
      <c r="E149" s="135"/>
      <c r="F149" s="134" t="s">
        <v>169</v>
      </c>
      <c r="G149" s="137" t="n">
        <v>6.853</v>
      </c>
      <c r="H149" s="137" t="n">
        <v>0</v>
      </c>
    </row>
    <row r="150" customFormat="false" ht="15" hidden="false" customHeight="false" outlineLevel="0" collapsed="false">
      <c r="A150" s="174"/>
      <c r="B150" s="174"/>
      <c r="C150" s="174"/>
      <c r="D150" s="175" t="s">
        <v>702</v>
      </c>
      <c r="E150" s="176"/>
      <c r="F150" s="176"/>
      <c r="G150" s="177" t="n">
        <v>6.853</v>
      </c>
      <c r="H150" s="174"/>
    </row>
    <row r="151" customFormat="false" ht="15" hidden="false" customHeight="true" outlineLevel="0" collapsed="false">
      <c r="A151" s="134" t="s">
        <v>352</v>
      </c>
      <c r="B151" s="134" t="s">
        <v>107</v>
      </c>
      <c r="C151" s="134" t="s">
        <v>353</v>
      </c>
      <c r="D151" s="135" t="s">
        <v>354</v>
      </c>
      <c r="E151" s="135"/>
      <c r="F151" s="134" t="s">
        <v>169</v>
      </c>
      <c r="G151" s="137" t="n">
        <v>5.46</v>
      </c>
      <c r="H151" s="137" t="n">
        <v>0</v>
      </c>
    </row>
    <row r="152" customFormat="false" ht="15" hidden="false" customHeight="false" outlineLevel="0" collapsed="false">
      <c r="A152" s="174"/>
      <c r="B152" s="174"/>
      <c r="C152" s="174"/>
      <c r="D152" s="175" t="s">
        <v>703</v>
      </c>
      <c r="E152" s="176"/>
      <c r="F152" s="176"/>
      <c r="G152" s="177" t="n">
        <v>5.46</v>
      </c>
      <c r="H152" s="174"/>
    </row>
    <row r="153" customFormat="false" ht="15" hidden="false" customHeight="true" outlineLevel="0" collapsed="false">
      <c r="A153" s="139" t="s">
        <v>355</v>
      </c>
      <c r="B153" s="139" t="s">
        <v>107</v>
      </c>
      <c r="C153" s="139" t="s">
        <v>356</v>
      </c>
      <c r="D153" s="140" t="s">
        <v>357</v>
      </c>
      <c r="E153" s="140"/>
      <c r="F153" s="139" t="s">
        <v>179</v>
      </c>
      <c r="G153" s="142" t="n">
        <v>0.481</v>
      </c>
      <c r="H153" s="142" t="n">
        <v>0</v>
      </c>
    </row>
    <row r="154" customFormat="false" ht="15" hidden="false" customHeight="false" outlineLevel="0" collapsed="false">
      <c r="A154" s="174"/>
      <c r="B154" s="174"/>
      <c r="C154" s="174"/>
      <c r="D154" s="175" t="s">
        <v>704</v>
      </c>
      <c r="E154" s="176"/>
      <c r="F154" s="176"/>
      <c r="G154" s="178" t="n">
        <v>0.437</v>
      </c>
      <c r="H154" s="174"/>
    </row>
    <row r="155" customFormat="false" ht="15" hidden="false" customHeight="false" outlineLevel="0" collapsed="false">
      <c r="A155" s="139"/>
      <c r="B155" s="139"/>
      <c r="C155" s="139"/>
      <c r="D155" s="175" t="s">
        <v>705</v>
      </c>
      <c r="E155" s="176"/>
      <c r="F155" s="176"/>
      <c r="G155" s="178" t="n">
        <v>0.044</v>
      </c>
      <c r="H155" s="143"/>
    </row>
    <row r="156" customFormat="false" ht="15" hidden="false" customHeight="true" outlineLevel="0" collapsed="false">
      <c r="A156" s="134" t="s">
        <v>358</v>
      </c>
      <c r="B156" s="134" t="s">
        <v>107</v>
      </c>
      <c r="C156" s="134" t="s">
        <v>359</v>
      </c>
      <c r="D156" s="135" t="s">
        <v>360</v>
      </c>
      <c r="E156" s="135"/>
      <c r="F156" s="134" t="s">
        <v>154</v>
      </c>
      <c r="G156" s="137" t="n">
        <v>13</v>
      </c>
      <c r="H156" s="137" t="n">
        <v>0</v>
      </c>
    </row>
    <row r="157" customFormat="false" ht="15" hidden="false" customHeight="false" outlineLevel="0" collapsed="false">
      <c r="A157" s="174"/>
      <c r="B157" s="174"/>
      <c r="C157" s="174"/>
      <c r="D157" s="175" t="s">
        <v>206</v>
      </c>
      <c r="E157" s="176"/>
      <c r="F157" s="176"/>
      <c r="G157" s="177" t="n">
        <v>13</v>
      </c>
      <c r="H157" s="174"/>
    </row>
    <row r="158" customFormat="false" ht="15" hidden="false" customHeight="true" outlineLevel="0" collapsed="false">
      <c r="A158" s="139" t="s">
        <v>274</v>
      </c>
      <c r="B158" s="139" t="s">
        <v>107</v>
      </c>
      <c r="C158" s="139" t="s">
        <v>361</v>
      </c>
      <c r="D158" s="140" t="s">
        <v>362</v>
      </c>
      <c r="E158" s="140"/>
      <c r="F158" s="139" t="s">
        <v>202</v>
      </c>
      <c r="G158" s="142" t="n">
        <v>13.13</v>
      </c>
      <c r="H158" s="142" t="n">
        <v>0</v>
      </c>
    </row>
    <row r="159" customFormat="false" ht="15" hidden="false" customHeight="false" outlineLevel="0" collapsed="false">
      <c r="A159" s="174"/>
      <c r="B159" s="174"/>
      <c r="C159" s="174"/>
      <c r="D159" s="175" t="s">
        <v>206</v>
      </c>
      <c r="E159" s="176"/>
      <c r="F159" s="176"/>
      <c r="G159" s="178" t="n">
        <v>13</v>
      </c>
      <c r="H159" s="174"/>
    </row>
    <row r="160" customFormat="false" ht="15" hidden="false" customHeight="false" outlineLevel="0" collapsed="false">
      <c r="A160" s="139"/>
      <c r="B160" s="139"/>
      <c r="C160" s="139"/>
      <c r="D160" s="175" t="s">
        <v>706</v>
      </c>
      <c r="E160" s="176"/>
      <c r="F160" s="176"/>
      <c r="G160" s="178" t="n">
        <v>0.13</v>
      </c>
      <c r="H160" s="143"/>
    </row>
    <row r="161" customFormat="false" ht="15" hidden="false" customHeight="true" outlineLevel="0" collapsed="false">
      <c r="A161" s="134" t="s">
        <v>363</v>
      </c>
      <c r="B161" s="134" t="s">
        <v>107</v>
      </c>
      <c r="C161" s="134" t="s">
        <v>318</v>
      </c>
      <c r="D161" s="135" t="s">
        <v>319</v>
      </c>
      <c r="E161" s="135"/>
      <c r="F161" s="134" t="s">
        <v>179</v>
      </c>
      <c r="G161" s="137" t="n">
        <v>3.587</v>
      </c>
      <c r="H161" s="137" t="n">
        <v>0</v>
      </c>
    </row>
    <row r="162" customFormat="false" ht="15" hidden="false" customHeight="false" outlineLevel="0" collapsed="false">
      <c r="A162" s="174"/>
      <c r="B162" s="174"/>
      <c r="C162" s="174"/>
      <c r="D162" s="175" t="s">
        <v>707</v>
      </c>
      <c r="E162" s="176"/>
      <c r="F162" s="176"/>
      <c r="G162" s="177" t="n">
        <v>3.587</v>
      </c>
      <c r="H162" s="174"/>
    </row>
    <row r="163" customFormat="false" ht="15" hidden="false" customHeight="true" outlineLevel="0" collapsed="false">
      <c r="A163" s="134" t="s">
        <v>364</v>
      </c>
      <c r="B163" s="134" t="s">
        <v>109</v>
      </c>
      <c r="C163" s="134" t="s">
        <v>365</v>
      </c>
      <c r="D163" s="135" t="s">
        <v>366</v>
      </c>
      <c r="E163" s="135"/>
      <c r="F163" s="134" t="s">
        <v>169</v>
      </c>
      <c r="G163" s="137" t="n">
        <v>67.4</v>
      </c>
      <c r="H163" s="137" t="n">
        <v>0</v>
      </c>
    </row>
    <row r="164" customFormat="false" ht="15" hidden="false" customHeight="false" outlineLevel="0" collapsed="false">
      <c r="A164" s="174"/>
      <c r="B164" s="174"/>
      <c r="C164" s="174"/>
      <c r="D164" s="175" t="s">
        <v>708</v>
      </c>
      <c r="E164" s="176"/>
      <c r="F164" s="176"/>
      <c r="G164" s="177" t="n">
        <v>67.4</v>
      </c>
      <c r="H164" s="174"/>
    </row>
    <row r="165" customFormat="false" ht="15" hidden="false" customHeight="true" outlineLevel="0" collapsed="false">
      <c r="A165" s="139" t="s">
        <v>369</v>
      </c>
      <c r="B165" s="139" t="s">
        <v>109</v>
      </c>
      <c r="C165" s="139" t="s">
        <v>370</v>
      </c>
      <c r="D165" s="140" t="s">
        <v>371</v>
      </c>
      <c r="E165" s="140"/>
      <c r="F165" s="139" t="s">
        <v>372</v>
      </c>
      <c r="G165" s="142" t="n">
        <v>0.044</v>
      </c>
      <c r="H165" s="142" t="n">
        <v>0</v>
      </c>
    </row>
    <row r="166" customFormat="false" ht="15" hidden="false" customHeight="false" outlineLevel="0" collapsed="false">
      <c r="A166" s="174"/>
      <c r="B166" s="174"/>
      <c r="C166" s="174"/>
      <c r="D166" s="175" t="s">
        <v>709</v>
      </c>
      <c r="E166" s="176"/>
      <c r="F166" s="176"/>
      <c r="G166" s="178" t="n">
        <v>0.04</v>
      </c>
      <c r="H166" s="174"/>
    </row>
    <row r="167" customFormat="false" ht="15" hidden="false" customHeight="false" outlineLevel="0" collapsed="false">
      <c r="A167" s="139"/>
      <c r="B167" s="139"/>
      <c r="C167" s="139"/>
      <c r="D167" s="175" t="s">
        <v>710</v>
      </c>
      <c r="E167" s="176"/>
      <c r="F167" s="176"/>
      <c r="G167" s="178" t="n">
        <v>0.004</v>
      </c>
      <c r="H167" s="143"/>
    </row>
    <row r="168" customFormat="false" ht="15" hidden="false" customHeight="true" outlineLevel="0" collapsed="false">
      <c r="A168" s="134" t="s">
        <v>373</v>
      </c>
      <c r="B168" s="134" t="s">
        <v>109</v>
      </c>
      <c r="C168" s="134" t="s">
        <v>374</v>
      </c>
      <c r="D168" s="135" t="s">
        <v>375</v>
      </c>
      <c r="E168" s="135"/>
      <c r="F168" s="134" t="s">
        <v>169</v>
      </c>
      <c r="G168" s="137" t="n">
        <v>33.7</v>
      </c>
      <c r="H168" s="137" t="n">
        <v>0</v>
      </c>
    </row>
    <row r="169" customFormat="false" ht="15" hidden="false" customHeight="false" outlineLevel="0" collapsed="false">
      <c r="A169" s="174"/>
      <c r="B169" s="174"/>
      <c r="C169" s="174"/>
      <c r="D169" s="175" t="s">
        <v>711</v>
      </c>
      <c r="E169" s="176" t="s">
        <v>712</v>
      </c>
      <c r="F169" s="176"/>
      <c r="G169" s="177" t="n">
        <v>33.7</v>
      </c>
      <c r="H169" s="174"/>
    </row>
    <row r="170" customFormat="false" ht="15" hidden="false" customHeight="true" outlineLevel="0" collapsed="false">
      <c r="A170" s="134" t="s">
        <v>376</v>
      </c>
      <c r="B170" s="134" t="s">
        <v>109</v>
      </c>
      <c r="C170" s="134" t="s">
        <v>377</v>
      </c>
      <c r="D170" s="135" t="s">
        <v>378</v>
      </c>
      <c r="E170" s="135"/>
      <c r="F170" s="134" t="s">
        <v>169</v>
      </c>
      <c r="G170" s="137" t="n">
        <v>33.7</v>
      </c>
      <c r="H170" s="137" t="n">
        <v>0</v>
      </c>
    </row>
    <row r="171" customFormat="false" ht="15" hidden="false" customHeight="false" outlineLevel="0" collapsed="false">
      <c r="A171" s="174"/>
      <c r="B171" s="174"/>
      <c r="C171" s="174"/>
      <c r="D171" s="175" t="s">
        <v>713</v>
      </c>
      <c r="E171" s="176"/>
      <c r="F171" s="176"/>
      <c r="G171" s="177" t="n">
        <v>33.7</v>
      </c>
      <c r="H171" s="174"/>
    </row>
    <row r="172" customFormat="false" ht="15" hidden="false" customHeight="true" outlineLevel="0" collapsed="false">
      <c r="A172" s="134" t="s">
        <v>379</v>
      </c>
      <c r="B172" s="134" t="s">
        <v>109</v>
      </c>
      <c r="C172" s="134" t="s">
        <v>380</v>
      </c>
      <c r="D172" s="135" t="s">
        <v>381</v>
      </c>
      <c r="E172" s="135"/>
      <c r="F172" s="134" t="s">
        <v>169</v>
      </c>
      <c r="G172" s="137" t="n">
        <v>33.7</v>
      </c>
      <c r="H172" s="137" t="n">
        <v>0</v>
      </c>
    </row>
    <row r="173" customFormat="false" ht="15" hidden="false" customHeight="false" outlineLevel="0" collapsed="false">
      <c r="A173" s="174"/>
      <c r="B173" s="174"/>
      <c r="C173" s="174"/>
      <c r="D173" s="175" t="s">
        <v>713</v>
      </c>
      <c r="E173" s="176"/>
      <c r="F173" s="176"/>
      <c r="G173" s="177" t="n">
        <v>33.7</v>
      </c>
      <c r="H173" s="174"/>
    </row>
    <row r="174" customFormat="false" ht="15" hidden="false" customHeight="true" outlineLevel="0" collapsed="false">
      <c r="A174" s="134" t="s">
        <v>382</v>
      </c>
      <c r="B174" s="134" t="s">
        <v>109</v>
      </c>
      <c r="C174" s="134" t="s">
        <v>383</v>
      </c>
      <c r="D174" s="135" t="s">
        <v>384</v>
      </c>
      <c r="E174" s="135"/>
      <c r="F174" s="134" t="s">
        <v>169</v>
      </c>
      <c r="G174" s="137" t="n">
        <v>33.7</v>
      </c>
      <c r="H174" s="137" t="n">
        <v>0</v>
      </c>
    </row>
    <row r="175" customFormat="false" ht="15" hidden="false" customHeight="false" outlineLevel="0" collapsed="false">
      <c r="A175" s="174"/>
      <c r="B175" s="174"/>
      <c r="C175" s="174"/>
      <c r="D175" s="175" t="s">
        <v>713</v>
      </c>
      <c r="E175" s="176"/>
      <c r="F175" s="176"/>
      <c r="G175" s="177" t="n">
        <v>33.7</v>
      </c>
      <c r="H175" s="174"/>
    </row>
    <row r="176" customFormat="false" ht="15" hidden="false" customHeight="true" outlineLevel="0" collapsed="false">
      <c r="A176" s="134" t="s">
        <v>386</v>
      </c>
      <c r="B176" s="134" t="s">
        <v>109</v>
      </c>
      <c r="C176" s="134" t="s">
        <v>387</v>
      </c>
      <c r="D176" s="135" t="s">
        <v>388</v>
      </c>
      <c r="E176" s="135"/>
      <c r="F176" s="134" t="s">
        <v>202</v>
      </c>
      <c r="G176" s="137" t="n">
        <v>193</v>
      </c>
      <c r="H176" s="137" t="n">
        <v>0</v>
      </c>
    </row>
    <row r="177" customFormat="false" ht="15" hidden="false" customHeight="false" outlineLevel="0" collapsed="false">
      <c r="A177" s="174"/>
      <c r="B177" s="174"/>
      <c r="C177" s="174"/>
      <c r="D177" s="175" t="s">
        <v>714</v>
      </c>
      <c r="E177" s="176"/>
      <c r="F177" s="176"/>
      <c r="G177" s="177" t="n">
        <v>193</v>
      </c>
      <c r="H177" s="174"/>
    </row>
    <row r="178" customFormat="false" ht="15" hidden="false" customHeight="true" outlineLevel="0" collapsed="false">
      <c r="A178" s="134" t="s">
        <v>390</v>
      </c>
      <c r="B178" s="134" t="s">
        <v>109</v>
      </c>
      <c r="C178" s="134" t="s">
        <v>391</v>
      </c>
      <c r="D178" s="135" t="s">
        <v>392</v>
      </c>
      <c r="E178" s="135"/>
      <c r="F178" s="134" t="s">
        <v>202</v>
      </c>
      <c r="G178" s="137" t="n">
        <v>193</v>
      </c>
      <c r="H178" s="137" t="n">
        <v>0</v>
      </c>
    </row>
    <row r="179" customFormat="false" ht="15" hidden="false" customHeight="false" outlineLevel="0" collapsed="false">
      <c r="A179" s="174"/>
      <c r="B179" s="174"/>
      <c r="C179" s="174"/>
      <c r="D179" s="175" t="s">
        <v>714</v>
      </c>
      <c r="E179" s="176"/>
      <c r="F179" s="176"/>
      <c r="G179" s="177" t="n">
        <v>193</v>
      </c>
      <c r="H179" s="174"/>
    </row>
    <row r="180" customFormat="false" ht="15" hidden="false" customHeight="true" outlineLevel="0" collapsed="false">
      <c r="A180" s="134" t="s">
        <v>393</v>
      </c>
      <c r="B180" s="134" t="s">
        <v>109</v>
      </c>
      <c r="C180" s="134" t="s">
        <v>394</v>
      </c>
      <c r="D180" s="135" t="s">
        <v>395</v>
      </c>
      <c r="E180" s="135"/>
      <c r="F180" s="134" t="s">
        <v>202</v>
      </c>
      <c r="G180" s="137" t="n">
        <v>193</v>
      </c>
      <c r="H180" s="137" t="n">
        <v>0</v>
      </c>
    </row>
    <row r="181" customFormat="false" ht="15" hidden="false" customHeight="false" outlineLevel="0" collapsed="false">
      <c r="A181" s="174"/>
      <c r="B181" s="174"/>
      <c r="C181" s="174"/>
      <c r="D181" s="175" t="s">
        <v>714</v>
      </c>
      <c r="E181" s="176"/>
      <c r="F181" s="176"/>
      <c r="G181" s="177" t="n">
        <v>193</v>
      </c>
      <c r="H181" s="174"/>
    </row>
    <row r="182" customFormat="false" ht="15" hidden="false" customHeight="true" outlineLevel="0" collapsed="false">
      <c r="A182" s="139" t="s">
        <v>396</v>
      </c>
      <c r="B182" s="139" t="s">
        <v>109</v>
      </c>
      <c r="C182" s="139" t="s">
        <v>397</v>
      </c>
      <c r="D182" s="140" t="s">
        <v>398</v>
      </c>
      <c r="E182" s="140"/>
      <c r="F182" s="139" t="s">
        <v>202</v>
      </c>
      <c r="G182" s="142" t="n">
        <v>1.93</v>
      </c>
      <c r="H182" s="142" t="n">
        <v>0</v>
      </c>
    </row>
    <row r="183" customFormat="false" ht="15" hidden="false" customHeight="false" outlineLevel="0" collapsed="false">
      <c r="A183" s="174"/>
      <c r="B183" s="174"/>
      <c r="C183" s="174"/>
      <c r="D183" s="175" t="s">
        <v>715</v>
      </c>
      <c r="E183" s="176"/>
      <c r="F183" s="176"/>
      <c r="G183" s="178" t="n">
        <v>1.93</v>
      </c>
      <c r="H183" s="174"/>
    </row>
    <row r="184" customFormat="false" ht="15" hidden="false" customHeight="true" outlineLevel="0" collapsed="false">
      <c r="A184" s="134" t="s">
        <v>399</v>
      </c>
      <c r="B184" s="134" t="s">
        <v>109</v>
      </c>
      <c r="C184" s="134" t="s">
        <v>400</v>
      </c>
      <c r="D184" s="135" t="s">
        <v>401</v>
      </c>
      <c r="E184" s="135"/>
      <c r="F184" s="134" t="s">
        <v>169</v>
      </c>
      <c r="G184" s="137" t="n">
        <v>33.7</v>
      </c>
      <c r="H184" s="137" t="n">
        <v>0</v>
      </c>
    </row>
    <row r="185" customFormat="false" ht="15" hidden="false" customHeight="false" outlineLevel="0" collapsed="false">
      <c r="A185" s="174"/>
      <c r="B185" s="174"/>
      <c r="C185" s="174"/>
      <c r="D185" s="175" t="s">
        <v>713</v>
      </c>
      <c r="E185" s="176"/>
      <c r="F185" s="176"/>
      <c r="G185" s="177" t="n">
        <v>33.7</v>
      </c>
      <c r="H185" s="174"/>
    </row>
    <row r="186" customFormat="false" ht="15" hidden="false" customHeight="true" outlineLevel="0" collapsed="false">
      <c r="A186" s="139" t="s">
        <v>402</v>
      </c>
      <c r="B186" s="139" t="s">
        <v>109</v>
      </c>
      <c r="C186" s="139" t="s">
        <v>356</v>
      </c>
      <c r="D186" s="140" t="s">
        <v>403</v>
      </c>
      <c r="E186" s="140"/>
      <c r="F186" s="139" t="s">
        <v>179</v>
      </c>
      <c r="G186" s="142" t="n">
        <v>4.671</v>
      </c>
      <c r="H186" s="142" t="n">
        <v>0</v>
      </c>
    </row>
    <row r="187" customFormat="false" ht="15" hidden="false" customHeight="false" outlineLevel="0" collapsed="false">
      <c r="A187" s="174"/>
      <c r="B187" s="174"/>
      <c r="C187" s="174"/>
      <c r="D187" s="175" t="s">
        <v>716</v>
      </c>
      <c r="E187" s="176"/>
      <c r="F187" s="176"/>
      <c r="G187" s="178" t="n">
        <v>4.246</v>
      </c>
      <c r="H187" s="174"/>
    </row>
    <row r="188" customFormat="false" ht="15" hidden="false" customHeight="false" outlineLevel="0" collapsed="false">
      <c r="A188" s="139"/>
      <c r="B188" s="139"/>
      <c r="C188" s="139"/>
      <c r="D188" s="175" t="s">
        <v>717</v>
      </c>
      <c r="E188" s="176"/>
      <c r="F188" s="176"/>
      <c r="G188" s="178" t="n">
        <v>0.425</v>
      </c>
      <c r="H188" s="143"/>
    </row>
    <row r="189" customFormat="false" ht="15" hidden="false" customHeight="true" outlineLevel="0" collapsed="false">
      <c r="A189" s="134" t="s">
        <v>404</v>
      </c>
      <c r="B189" s="134" t="s">
        <v>109</v>
      </c>
      <c r="C189" s="134" t="s">
        <v>380</v>
      </c>
      <c r="D189" s="135" t="s">
        <v>405</v>
      </c>
      <c r="E189" s="135"/>
      <c r="F189" s="134" t="s">
        <v>169</v>
      </c>
      <c r="G189" s="137" t="n">
        <v>33.7</v>
      </c>
      <c r="H189" s="137" t="n">
        <v>0</v>
      </c>
    </row>
    <row r="190" customFormat="false" ht="15" hidden="false" customHeight="false" outlineLevel="0" collapsed="false">
      <c r="A190" s="174"/>
      <c r="B190" s="174"/>
      <c r="C190" s="174"/>
      <c r="D190" s="175" t="s">
        <v>713</v>
      </c>
      <c r="E190" s="176"/>
      <c r="F190" s="176"/>
      <c r="G190" s="177" t="n">
        <v>33.7</v>
      </c>
      <c r="H190" s="174"/>
    </row>
    <row r="191" customFormat="false" ht="15" hidden="false" customHeight="true" outlineLevel="0" collapsed="false">
      <c r="A191" s="134" t="s">
        <v>406</v>
      </c>
      <c r="B191" s="134" t="s">
        <v>109</v>
      </c>
      <c r="C191" s="134" t="s">
        <v>407</v>
      </c>
      <c r="D191" s="135" t="s">
        <v>408</v>
      </c>
      <c r="E191" s="135"/>
      <c r="F191" s="134" t="s">
        <v>169</v>
      </c>
      <c r="G191" s="137" t="n">
        <v>33.7</v>
      </c>
      <c r="H191" s="137" t="n">
        <v>0</v>
      </c>
    </row>
    <row r="192" customFormat="false" ht="15" hidden="false" customHeight="false" outlineLevel="0" collapsed="false">
      <c r="A192" s="174"/>
      <c r="B192" s="174"/>
      <c r="C192" s="174"/>
      <c r="D192" s="175" t="s">
        <v>713</v>
      </c>
      <c r="E192" s="176"/>
      <c r="F192" s="176"/>
      <c r="G192" s="177" t="n">
        <v>33.7</v>
      </c>
      <c r="H192" s="174"/>
    </row>
    <row r="193" customFormat="false" ht="15" hidden="false" customHeight="true" outlineLevel="0" collapsed="false">
      <c r="A193" s="134" t="s">
        <v>409</v>
      </c>
      <c r="B193" s="134" t="s">
        <v>109</v>
      </c>
      <c r="C193" s="134" t="s">
        <v>410</v>
      </c>
      <c r="D193" s="135" t="s">
        <v>411</v>
      </c>
      <c r="E193" s="135"/>
      <c r="F193" s="134" t="s">
        <v>189</v>
      </c>
      <c r="G193" s="137" t="n">
        <v>0.674</v>
      </c>
      <c r="H193" s="137" t="n">
        <v>0</v>
      </c>
    </row>
    <row r="194" customFormat="false" ht="15" hidden="false" customHeight="false" outlineLevel="0" collapsed="false">
      <c r="A194" s="174"/>
      <c r="B194" s="174"/>
      <c r="C194" s="174"/>
      <c r="D194" s="175" t="s">
        <v>718</v>
      </c>
      <c r="E194" s="176"/>
      <c r="F194" s="176"/>
      <c r="G194" s="177" t="n">
        <v>0.674</v>
      </c>
      <c r="H194" s="174"/>
    </row>
    <row r="195" customFormat="false" ht="15" hidden="false" customHeight="true" outlineLevel="0" collapsed="false">
      <c r="A195" s="134" t="s">
        <v>412</v>
      </c>
      <c r="B195" s="134" t="s">
        <v>109</v>
      </c>
      <c r="C195" s="134" t="s">
        <v>413</v>
      </c>
      <c r="D195" s="135" t="s">
        <v>414</v>
      </c>
      <c r="E195" s="135"/>
      <c r="F195" s="134" t="s">
        <v>189</v>
      </c>
      <c r="G195" s="137" t="n">
        <v>0.674</v>
      </c>
      <c r="H195" s="137" t="n">
        <v>0</v>
      </c>
    </row>
    <row r="196" customFormat="false" ht="15" hidden="false" customHeight="false" outlineLevel="0" collapsed="false">
      <c r="A196" s="174"/>
      <c r="B196" s="174"/>
      <c r="C196" s="174"/>
      <c r="D196" s="175" t="s">
        <v>719</v>
      </c>
      <c r="E196" s="176"/>
      <c r="F196" s="176"/>
      <c r="G196" s="177" t="n">
        <v>0.674</v>
      </c>
      <c r="H196" s="174"/>
    </row>
    <row r="197" customFormat="false" ht="15" hidden="false" customHeight="true" outlineLevel="0" collapsed="false">
      <c r="A197" s="139" t="s">
        <v>415</v>
      </c>
      <c r="B197" s="139" t="s">
        <v>109</v>
      </c>
      <c r="C197" s="139" t="s">
        <v>416</v>
      </c>
      <c r="D197" s="140" t="s">
        <v>417</v>
      </c>
      <c r="E197" s="140"/>
      <c r="F197" s="139" t="s">
        <v>202</v>
      </c>
      <c r="G197" s="142" t="n">
        <v>17</v>
      </c>
      <c r="H197" s="142" t="n">
        <v>0</v>
      </c>
    </row>
    <row r="198" customFormat="false" ht="15" hidden="false" customHeight="false" outlineLevel="0" collapsed="false">
      <c r="A198" s="174"/>
      <c r="B198" s="174"/>
      <c r="C198" s="174"/>
      <c r="D198" s="175" t="s">
        <v>219</v>
      </c>
      <c r="E198" s="176"/>
      <c r="F198" s="176"/>
      <c r="G198" s="178" t="n">
        <v>17</v>
      </c>
      <c r="H198" s="174"/>
    </row>
    <row r="199" customFormat="false" ht="15" hidden="false" customHeight="true" outlineLevel="0" collapsed="false">
      <c r="A199" s="139" t="s">
        <v>418</v>
      </c>
      <c r="B199" s="139" t="s">
        <v>109</v>
      </c>
      <c r="C199" s="139" t="s">
        <v>419</v>
      </c>
      <c r="D199" s="140" t="s">
        <v>420</v>
      </c>
      <c r="E199" s="140"/>
      <c r="F199" s="139" t="s">
        <v>202</v>
      </c>
      <c r="G199" s="142" t="n">
        <v>11</v>
      </c>
      <c r="H199" s="142" t="n">
        <v>0</v>
      </c>
    </row>
    <row r="200" customFormat="false" ht="15" hidden="false" customHeight="false" outlineLevel="0" collapsed="false">
      <c r="A200" s="174"/>
      <c r="B200" s="174"/>
      <c r="C200" s="174"/>
      <c r="D200" s="175" t="s">
        <v>149</v>
      </c>
      <c r="E200" s="176"/>
      <c r="F200" s="176"/>
      <c r="G200" s="178" t="n">
        <v>11</v>
      </c>
      <c r="H200" s="174"/>
    </row>
    <row r="201" customFormat="false" ht="15" hidden="false" customHeight="true" outlineLevel="0" collapsed="false">
      <c r="A201" s="139" t="s">
        <v>421</v>
      </c>
      <c r="B201" s="139" t="s">
        <v>109</v>
      </c>
      <c r="C201" s="139" t="s">
        <v>422</v>
      </c>
      <c r="D201" s="140" t="s">
        <v>423</v>
      </c>
      <c r="E201" s="140"/>
      <c r="F201" s="139" t="s">
        <v>202</v>
      </c>
      <c r="G201" s="142" t="n">
        <v>4</v>
      </c>
      <c r="H201" s="142" t="n">
        <v>0</v>
      </c>
    </row>
    <row r="202" customFormat="false" ht="15" hidden="false" customHeight="false" outlineLevel="0" collapsed="false">
      <c r="A202" s="174"/>
      <c r="B202" s="174"/>
      <c r="C202" s="174"/>
      <c r="D202" s="175" t="s">
        <v>166</v>
      </c>
      <c r="E202" s="176"/>
      <c r="F202" s="176"/>
      <c r="G202" s="178" t="n">
        <v>4</v>
      </c>
      <c r="H202" s="174"/>
    </row>
    <row r="203" customFormat="false" ht="15" hidden="false" customHeight="true" outlineLevel="0" collapsed="false">
      <c r="A203" s="139" t="s">
        <v>424</v>
      </c>
      <c r="B203" s="139" t="s">
        <v>109</v>
      </c>
      <c r="C203" s="139" t="s">
        <v>425</v>
      </c>
      <c r="D203" s="140" t="s">
        <v>426</v>
      </c>
      <c r="E203" s="140"/>
      <c r="F203" s="139" t="s">
        <v>202</v>
      </c>
      <c r="G203" s="142" t="n">
        <v>3</v>
      </c>
      <c r="H203" s="142" t="n">
        <v>0</v>
      </c>
    </row>
    <row r="204" customFormat="false" ht="15" hidden="false" customHeight="false" outlineLevel="0" collapsed="false">
      <c r="A204" s="174"/>
      <c r="B204" s="174"/>
      <c r="C204" s="174"/>
      <c r="D204" s="175" t="s">
        <v>164</v>
      </c>
      <c r="E204" s="176"/>
      <c r="F204" s="176"/>
      <c r="G204" s="178" t="n">
        <v>3</v>
      </c>
      <c r="H204" s="174"/>
    </row>
    <row r="205" customFormat="false" ht="15" hidden="false" customHeight="true" outlineLevel="0" collapsed="false">
      <c r="A205" s="139" t="s">
        <v>427</v>
      </c>
      <c r="B205" s="139" t="s">
        <v>109</v>
      </c>
      <c r="C205" s="139" t="s">
        <v>428</v>
      </c>
      <c r="D205" s="140" t="s">
        <v>429</v>
      </c>
      <c r="E205" s="140"/>
      <c r="F205" s="139" t="s">
        <v>202</v>
      </c>
      <c r="G205" s="142" t="n">
        <v>8</v>
      </c>
      <c r="H205" s="142" t="n">
        <v>0</v>
      </c>
    </row>
    <row r="206" customFormat="false" ht="15" hidden="false" customHeight="false" outlineLevel="0" collapsed="false">
      <c r="A206" s="174"/>
      <c r="B206" s="174"/>
      <c r="C206" s="174"/>
      <c r="D206" s="175" t="s">
        <v>181</v>
      </c>
      <c r="E206" s="176"/>
      <c r="F206" s="176"/>
      <c r="G206" s="178" t="n">
        <v>8</v>
      </c>
      <c r="H206" s="174"/>
    </row>
    <row r="207" customFormat="false" ht="15" hidden="false" customHeight="true" outlineLevel="0" collapsed="false">
      <c r="A207" s="139" t="s">
        <v>430</v>
      </c>
      <c r="B207" s="139" t="s">
        <v>109</v>
      </c>
      <c r="C207" s="139" t="s">
        <v>431</v>
      </c>
      <c r="D207" s="140" t="s">
        <v>432</v>
      </c>
      <c r="E207" s="140"/>
      <c r="F207" s="139" t="s">
        <v>202</v>
      </c>
      <c r="G207" s="142" t="n">
        <v>8</v>
      </c>
      <c r="H207" s="142" t="n">
        <v>0</v>
      </c>
    </row>
    <row r="208" customFormat="false" ht="15" hidden="false" customHeight="false" outlineLevel="0" collapsed="false">
      <c r="A208" s="174"/>
      <c r="B208" s="174"/>
      <c r="C208" s="174"/>
      <c r="D208" s="175" t="s">
        <v>181</v>
      </c>
      <c r="E208" s="176"/>
      <c r="F208" s="176"/>
      <c r="G208" s="178" t="n">
        <v>8</v>
      </c>
      <c r="H208" s="174"/>
    </row>
    <row r="209" customFormat="false" ht="15" hidden="false" customHeight="true" outlineLevel="0" collapsed="false">
      <c r="A209" s="139" t="s">
        <v>433</v>
      </c>
      <c r="B209" s="139" t="s">
        <v>109</v>
      </c>
      <c r="C209" s="139" t="s">
        <v>434</v>
      </c>
      <c r="D209" s="140" t="s">
        <v>435</v>
      </c>
      <c r="E209" s="140"/>
      <c r="F209" s="139" t="s">
        <v>202</v>
      </c>
      <c r="G209" s="142" t="n">
        <v>17</v>
      </c>
      <c r="H209" s="142" t="n">
        <v>0</v>
      </c>
    </row>
    <row r="210" customFormat="false" ht="15" hidden="false" customHeight="false" outlineLevel="0" collapsed="false">
      <c r="A210" s="174"/>
      <c r="B210" s="174"/>
      <c r="C210" s="174"/>
      <c r="D210" s="175" t="s">
        <v>219</v>
      </c>
      <c r="E210" s="176"/>
      <c r="F210" s="176"/>
      <c r="G210" s="178" t="n">
        <v>17</v>
      </c>
      <c r="H210" s="174"/>
    </row>
    <row r="211" customFormat="false" ht="15" hidden="false" customHeight="true" outlineLevel="0" collapsed="false">
      <c r="A211" s="139" t="s">
        <v>436</v>
      </c>
      <c r="B211" s="139" t="s">
        <v>109</v>
      </c>
      <c r="C211" s="139" t="s">
        <v>437</v>
      </c>
      <c r="D211" s="140" t="s">
        <v>438</v>
      </c>
      <c r="E211" s="140"/>
      <c r="F211" s="139" t="s">
        <v>202</v>
      </c>
      <c r="G211" s="142" t="n">
        <v>8</v>
      </c>
      <c r="H211" s="142" t="n">
        <v>0</v>
      </c>
    </row>
    <row r="212" customFormat="false" ht="15" hidden="false" customHeight="false" outlineLevel="0" collapsed="false">
      <c r="A212" s="174"/>
      <c r="B212" s="174"/>
      <c r="C212" s="174"/>
      <c r="D212" s="175" t="s">
        <v>181</v>
      </c>
      <c r="E212" s="176"/>
      <c r="F212" s="176"/>
      <c r="G212" s="178" t="n">
        <v>8</v>
      </c>
      <c r="H212" s="174"/>
    </row>
    <row r="213" customFormat="false" ht="15" hidden="false" customHeight="true" outlineLevel="0" collapsed="false">
      <c r="A213" s="139" t="s">
        <v>439</v>
      </c>
      <c r="B213" s="139" t="s">
        <v>109</v>
      </c>
      <c r="C213" s="139" t="s">
        <v>440</v>
      </c>
      <c r="D213" s="140" t="s">
        <v>441</v>
      </c>
      <c r="E213" s="140"/>
      <c r="F213" s="139" t="s">
        <v>202</v>
      </c>
      <c r="G213" s="142" t="n">
        <v>6</v>
      </c>
      <c r="H213" s="142" t="n">
        <v>0</v>
      </c>
    </row>
    <row r="214" customFormat="false" ht="15" hidden="false" customHeight="false" outlineLevel="0" collapsed="false">
      <c r="A214" s="174"/>
      <c r="B214" s="174"/>
      <c r="C214" s="174"/>
      <c r="D214" s="175" t="s">
        <v>173</v>
      </c>
      <c r="E214" s="176"/>
      <c r="F214" s="176"/>
      <c r="G214" s="178" t="n">
        <v>6</v>
      </c>
      <c r="H214" s="174"/>
    </row>
    <row r="215" customFormat="false" ht="15" hidden="false" customHeight="true" outlineLevel="0" collapsed="false">
      <c r="A215" s="139" t="s">
        <v>442</v>
      </c>
      <c r="B215" s="139" t="s">
        <v>109</v>
      </c>
      <c r="C215" s="139" t="s">
        <v>443</v>
      </c>
      <c r="D215" s="140" t="s">
        <v>444</v>
      </c>
      <c r="E215" s="140"/>
      <c r="F215" s="139" t="s">
        <v>202</v>
      </c>
      <c r="G215" s="142" t="n">
        <v>9</v>
      </c>
      <c r="H215" s="142" t="n">
        <v>0</v>
      </c>
    </row>
    <row r="216" customFormat="false" ht="15" hidden="false" customHeight="false" outlineLevel="0" collapsed="false">
      <c r="A216" s="174"/>
      <c r="B216" s="174"/>
      <c r="C216" s="174"/>
      <c r="D216" s="175" t="s">
        <v>186</v>
      </c>
      <c r="E216" s="176"/>
      <c r="F216" s="176"/>
      <c r="G216" s="178" t="n">
        <v>9</v>
      </c>
      <c r="H216" s="174"/>
    </row>
    <row r="217" customFormat="false" ht="15" hidden="false" customHeight="true" outlineLevel="0" collapsed="false">
      <c r="A217" s="139" t="s">
        <v>445</v>
      </c>
      <c r="B217" s="139" t="s">
        <v>109</v>
      </c>
      <c r="C217" s="139" t="s">
        <v>446</v>
      </c>
      <c r="D217" s="140" t="s">
        <v>447</v>
      </c>
      <c r="E217" s="140"/>
      <c r="F217" s="139" t="s">
        <v>202</v>
      </c>
      <c r="G217" s="142" t="n">
        <v>3</v>
      </c>
      <c r="H217" s="142" t="n">
        <v>0</v>
      </c>
    </row>
    <row r="218" customFormat="false" ht="15" hidden="false" customHeight="false" outlineLevel="0" collapsed="false">
      <c r="A218" s="174"/>
      <c r="B218" s="174"/>
      <c r="C218" s="174"/>
      <c r="D218" s="175" t="s">
        <v>164</v>
      </c>
      <c r="E218" s="176"/>
      <c r="F218" s="176"/>
      <c r="G218" s="178" t="n">
        <v>3</v>
      </c>
      <c r="H218" s="174"/>
    </row>
    <row r="219" customFormat="false" ht="15" hidden="false" customHeight="true" outlineLevel="0" collapsed="false">
      <c r="A219" s="139" t="s">
        <v>448</v>
      </c>
      <c r="B219" s="139" t="s">
        <v>109</v>
      </c>
      <c r="C219" s="139" t="s">
        <v>449</v>
      </c>
      <c r="D219" s="140" t="s">
        <v>450</v>
      </c>
      <c r="E219" s="140"/>
      <c r="F219" s="139" t="s">
        <v>202</v>
      </c>
      <c r="G219" s="142" t="n">
        <v>16</v>
      </c>
      <c r="H219" s="142" t="n">
        <v>0</v>
      </c>
    </row>
    <row r="220" customFormat="false" ht="15" hidden="false" customHeight="false" outlineLevel="0" collapsed="false">
      <c r="A220" s="174"/>
      <c r="B220" s="174"/>
      <c r="C220" s="174"/>
      <c r="D220" s="175" t="s">
        <v>216</v>
      </c>
      <c r="E220" s="176"/>
      <c r="F220" s="176"/>
      <c r="G220" s="178" t="n">
        <v>16</v>
      </c>
      <c r="H220" s="174"/>
    </row>
    <row r="221" customFormat="false" ht="15" hidden="false" customHeight="true" outlineLevel="0" collapsed="false">
      <c r="A221" s="139" t="s">
        <v>451</v>
      </c>
      <c r="B221" s="139" t="s">
        <v>109</v>
      </c>
      <c r="C221" s="139" t="s">
        <v>452</v>
      </c>
      <c r="D221" s="140" t="s">
        <v>453</v>
      </c>
      <c r="E221" s="140"/>
      <c r="F221" s="139" t="s">
        <v>202</v>
      </c>
      <c r="G221" s="142" t="n">
        <v>10</v>
      </c>
      <c r="H221" s="142" t="n">
        <v>0</v>
      </c>
    </row>
    <row r="222" customFormat="false" ht="15" hidden="false" customHeight="false" outlineLevel="0" collapsed="false">
      <c r="A222" s="174"/>
      <c r="B222" s="174"/>
      <c r="C222" s="174"/>
      <c r="D222" s="175" t="s">
        <v>192</v>
      </c>
      <c r="E222" s="176"/>
      <c r="F222" s="176"/>
      <c r="G222" s="178" t="n">
        <v>10</v>
      </c>
      <c r="H222" s="174"/>
    </row>
    <row r="223" customFormat="false" ht="15" hidden="false" customHeight="true" outlineLevel="0" collapsed="false">
      <c r="A223" s="139" t="s">
        <v>336</v>
      </c>
      <c r="B223" s="139" t="s">
        <v>109</v>
      </c>
      <c r="C223" s="139" t="s">
        <v>454</v>
      </c>
      <c r="D223" s="140" t="s">
        <v>455</v>
      </c>
      <c r="E223" s="140"/>
      <c r="F223" s="139" t="s">
        <v>202</v>
      </c>
      <c r="G223" s="142" t="n">
        <v>7</v>
      </c>
      <c r="H223" s="142" t="n">
        <v>0</v>
      </c>
    </row>
    <row r="224" customFormat="false" ht="15" hidden="false" customHeight="false" outlineLevel="0" collapsed="false">
      <c r="A224" s="174"/>
      <c r="B224" s="174"/>
      <c r="C224" s="174"/>
      <c r="D224" s="175" t="s">
        <v>176</v>
      </c>
      <c r="E224" s="176"/>
      <c r="F224" s="176"/>
      <c r="G224" s="178" t="n">
        <v>7</v>
      </c>
      <c r="H224" s="174"/>
    </row>
    <row r="225" customFormat="false" ht="15" hidden="false" customHeight="true" outlineLevel="0" collapsed="false">
      <c r="A225" s="139" t="s">
        <v>346</v>
      </c>
      <c r="B225" s="139" t="s">
        <v>109</v>
      </c>
      <c r="C225" s="139" t="s">
        <v>456</v>
      </c>
      <c r="D225" s="140" t="s">
        <v>457</v>
      </c>
      <c r="E225" s="140"/>
      <c r="F225" s="139" t="s">
        <v>202</v>
      </c>
      <c r="G225" s="142" t="n">
        <v>11</v>
      </c>
      <c r="H225" s="142" t="n">
        <v>0</v>
      </c>
    </row>
    <row r="226" customFormat="false" ht="15" hidden="false" customHeight="false" outlineLevel="0" collapsed="false">
      <c r="A226" s="174"/>
      <c r="B226" s="174"/>
      <c r="C226" s="174"/>
      <c r="D226" s="175" t="s">
        <v>149</v>
      </c>
      <c r="E226" s="176"/>
      <c r="F226" s="176"/>
      <c r="G226" s="178" t="n">
        <v>11</v>
      </c>
      <c r="H226" s="174"/>
    </row>
    <row r="227" customFormat="false" ht="15" hidden="false" customHeight="true" outlineLevel="0" collapsed="false">
      <c r="A227" s="139" t="s">
        <v>458</v>
      </c>
      <c r="B227" s="139" t="s">
        <v>109</v>
      </c>
      <c r="C227" s="139" t="s">
        <v>459</v>
      </c>
      <c r="D227" s="140" t="s">
        <v>460</v>
      </c>
      <c r="E227" s="140"/>
      <c r="F227" s="139" t="s">
        <v>202</v>
      </c>
      <c r="G227" s="142" t="n">
        <v>9</v>
      </c>
      <c r="H227" s="142" t="n">
        <v>0</v>
      </c>
    </row>
    <row r="228" customFormat="false" ht="15" hidden="false" customHeight="false" outlineLevel="0" collapsed="false">
      <c r="A228" s="174"/>
      <c r="B228" s="174"/>
      <c r="C228" s="174"/>
      <c r="D228" s="175" t="s">
        <v>186</v>
      </c>
      <c r="E228" s="176"/>
      <c r="F228" s="176"/>
      <c r="G228" s="178" t="n">
        <v>9</v>
      </c>
      <c r="H228" s="174"/>
    </row>
    <row r="229" customFormat="false" ht="15" hidden="false" customHeight="true" outlineLevel="0" collapsed="false">
      <c r="A229" s="139" t="s">
        <v>461</v>
      </c>
      <c r="B229" s="139" t="s">
        <v>109</v>
      </c>
      <c r="C229" s="139" t="s">
        <v>462</v>
      </c>
      <c r="D229" s="140" t="s">
        <v>463</v>
      </c>
      <c r="E229" s="140"/>
      <c r="F229" s="139" t="s">
        <v>202</v>
      </c>
      <c r="G229" s="142" t="n">
        <v>3</v>
      </c>
      <c r="H229" s="142" t="n">
        <v>0</v>
      </c>
    </row>
    <row r="230" customFormat="false" ht="15" hidden="false" customHeight="false" outlineLevel="0" collapsed="false">
      <c r="A230" s="174"/>
      <c r="B230" s="174"/>
      <c r="C230" s="174"/>
      <c r="D230" s="175" t="s">
        <v>164</v>
      </c>
      <c r="E230" s="176"/>
      <c r="F230" s="176"/>
      <c r="G230" s="178" t="n">
        <v>3</v>
      </c>
      <c r="H230" s="174"/>
    </row>
    <row r="231" customFormat="false" ht="15" hidden="false" customHeight="true" outlineLevel="0" collapsed="false">
      <c r="A231" s="139" t="s">
        <v>464</v>
      </c>
      <c r="B231" s="139" t="s">
        <v>109</v>
      </c>
      <c r="C231" s="139" t="s">
        <v>465</v>
      </c>
      <c r="D231" s="140" t="s">
        <v>466</v>
      </c>
      <c r="E231" s="140"/>
      <c r="F231" s="139" t="s">
        <v>202</v>
      </c>
      <c r="G231" s="142" t="n">
        <v>5</v>
      </c>
      <c r="H231" s="142" t="n">
        <v>0</v>
      </c>
    </row>
    <row r="232" customFormat="false" ht="15" hidden="false" customHeight="false" outlineLevel="0" collapsed="false">
      <c r="A232" s="174"/>
      <c r="B232" s="174"/>
      <c r="C232" s="174"/>
      <c r="D232" s="175" t="s">
        <v>170</v>
      </c>
      <c r="E232" s="176"/>
      <c r="F232" s="176"/>
      <c r="G232" s="178" t="n">
        <v>5</v>
      </c>
      <c r="H232" s="174"/>
    </row>
    <row r="233" customFormat="false" ht="15" hidden="false" customHeight="true" outlineLevel="0" collapsed="false">
      <c r="A233" s="139" t="s">
        <v>467</v>
      </c>
      <c r="B233" s="139" t="s">
        <v>109</v>
      </c>
      <c r="C233" s="139" t="s">
        <v>468</v>
      </c>
      <c r="D233" s="140" t="s">
        <v>469</v>
      </c>
      <c r="E233" s="140"/>
      <c r="F233" s="139" t="s">
        <v>202</v>
      </c>
      <c r="G233" s="142" t="n">
        <v>7</v>
      </c>
      <c r="H233" s="142" t="n">
        <v>0</v>
      </c>
    </row>
    <row r="234" customFormat="false" ht="15" hidden="false" customHeight="false" outlineLevel="0" collapsed="false">
      <c r="A234" s="174"/>
      <c r="B234" s="174"/>
      <c r="C234" s="174"/>
      <c r="D234" s="175" t="s">
        <v>176</v>
      </c>
      <c r="E234" s="176"/>
      <c r="F234" s="176"/>
      <c r="G234" s="178" t="n">
        <v>7</v>
      </c>
      <c r="H234" s="174"/>
    </row>
    <row r="235" customFormat="false" ht="15" hidden="false" customHeight="true" outlineLevel="0" collapsed="false">
      <c r="A235" s="139" t="s">
        <v>184</v>
      </c>
      <c r="B235" s="139" t="s">
        <v>109</v>
      </c>
      <c r="C235" s="139" t="s">
        <v>470</v>
      </c>
      <c r="D235" s="140" t="s">
        <v>435</v>
      </c>
      <c r="E235" s="140"/>
      <c r="F235" s="139" t="s">
        <v>202</v>
      </c>
      <c r="G235" s="142" t="n">
        <v>6</v>
      </c>
      <c r="H235" s="142" t="n">
        <v>0</v>
      </c>
    </row>
    <row r="236" customFormat="false" ht="15" hidden="false" customHeight="false" outlineLevel="0" collapsed="false">
      <c r="A236" s="174"/>
      <c r="B236" s="174"/>
      <c r="C236" s="174"/>
      <c r="D236" s="175" t="s">
        <v>173</v>
      </c>
      <c r="E236" s="176"/>
      <c r="F236" s="176"/>
      <c r="G236" s="178" t="n">
        <v>6</v>
      </c>
      <c r="H236" s="174"/>
    </row>
    <row r="237" customFormat="false" ht="15" hidden="false" customHeight="true" outlineLevel="0" collapsed="false">
      <c r="A237" s="134" t="s">
        <v>197</v>
      </c>
      <c r="B237" s="134" t="s">
        <v>109</v>
      </c>
      <c r="C237" s="134" t="s">
        <v>391</v>
      </c>
      <c r="D237" s="135" t="s">
        <v>471</v>
      </c>
      <c r="E237" s="135"/>
      <c r="F237" s="134" t="s">
        <v>202</v>
      </c>
      <c r="G237" s="137" t="n">
        <v>340</v>
      </c>
      <c r="H237" s="137" t="n">
        <v>0</v>
      </c>
    </row>
    <row r="238" customFormat="false" ht="15" hidden="false" customHeight="false" outlineLevel="0" collapsed="false">
      <c r="A238" s="174"/>
      <c r="B238" s="174"/>
      <c r="C238" s="174"/>
      <c r="D238" s="175" t="s">
        <v>720</v>
      </c>
      <c r="E238" s="176"/>
      <c r="F238" s="176"/>
      <c r="G238" s="177" t="n">
        <v>340</v>
      </c>
      <c r="H238" s="174"/>
    </row>
    <row r="239" customFormat="false" ht="15" hidden="false" customHeight="true" outlineLevel="0" collapsed="false">
      <c r="A239" s="134" t="s">
        <v>472</v>
      </c>
      <c r="B239" s="134" t="s">
        <v>109</v>
      </c>
      <c r="C239" s="134" t="s">
        <v>473</v>
      </c>
      <c r="D239" s="135" t="s">
        <v>474</v>
      </c>
      <c r="E239" s="135"/>
      <c r="F239" s="134" t="s">
        <v>202</v>
      </c>
      <c r="G239" s="137" t="n">
        <v>340</v>
      </c>
      <c r="H239" s="137" t="n">
        <v>0</v>
      </c>
    </row>
    <row r="240" customFormat="false" ht="15" hidden="false" customHeight="false" outlineLevel="0" collapsed="false">
      <c r="A240" s="174"/>
      <c r="B240" s="174"/>
      <c r="C240" s="174"/>
      <c r="D240" s="175" t="s">
        <v>720</v>
      </c>
      <c r="E240" s="176"/>
      <c r="F240" s="176"/>
      <c r="G240" s="177" t="n">
        <v>340</v>
      </c>
      <c r="H240" s="174"/>
    </row>
    <row r="241" customFormat="false" ht="15" hidden="false" customHeight="true" outlineLevel="0" collapsed="false">
      <c r="A241" s="139" t="s">
        <v>475</v>
      </c>
      <c r="B241" s="139" t="s">
        <v>109</v>
      </c>
      <c r="C241" s="139" t="s">
        <v>476</v>
      </c>
      <c r="D241" s="140" t="s">
        <v>477</v>
      </c>
      <c r="E241" s="140"/>
      <c r="F241" s="139" t="s">
        <v>202</v>
      </c>
      <c r="G241" s="142" t="n">
        <v>50</v>
      </c>
      <c r="H241" s="142" t="n">
        <v>0</v>
      </c>
    </row>
    <row r="242" customFormat="false" ht="15" hidden="false" customHeight="false" outlineLevel="0" collapsed="false">
      <c r="A242" s="174"/>
      <c r="B242" s="174"/>
      <c r="C242" s="174"/>
      <c r="D242" s="175" t="s">
        <v>328</v>
      </c>
      <c r="E242" s="176"/>
      <c r="F242" s="176"/>
      <c r="G242" s="178" t="n">
        <v>50</v>
      </c>
      <c r="H242" s="174"/>
    </row>
    <row r="243" customFormat="false" ht="15" hidden="false" customHeight="true" outlineLevel="0" collapsed="false">
      <c r="A243" s="139" t="s">
        <v>478</v>
      </c>
      <c r="B243" s="139" t="s">
        <v>109</v>
      </c>
      <c r="C243" s="139" t="s">
        <v>479</v>
      </c>
      <c r="D243" s="140" t="s">
        <v>480</v>
      </c>
      <c r="E243" s="140"/>
      <c r="F243" s="139" t="s">
        <v>202</v>
      </c>
      <c r="G243" s="142" t="n">
        <v>50</v>
      </c>
      <c r="H243" s="142" t="n">
        <v>0</v>
      </c>
    </row>
    <row r="244" customFormat="false" ht="15" hidden="false" customHeight="false" outlineLevel="0" collapsed="false">
      <c r="A244" s="174"/>
      <c r="B244" s="174"/>
      <c r="C244" s="174"/>
      <c r="D244" s="175" t="s">
        <v>328</v>
      </c>
      <c r="E244" s="176"/>
      <c r="F244" s="176"/>
      <c r="G244" s="178" t="n">
        <v>50</v>
      </c>
      <c r="H244" s="174"/>
    </row>
    <row r="245" customFormat="false" ht="15" hidden="false" customHeight="true" outlineLevel="0" collapsed="false">
      <c r="A245" s="139" t="s">
        <v>481</v>
      </c>
      <c r="B245" s="139" t="s">
        <v>109</v>
      </c>
      <c r="C245" s="139" t="s">
        <v>482</v>
      </c>
      <c r="D245" s="140" t="s">
        <v>483</v>
      </c>
      <c r="E245" s="140"/>
      <c r="F245" s="139" t="s">
        <v>202</v>
      </c>
      <c r="G245" s="142" t="n">
        <v>50</v>
      </c>
      <c r="H245" s="142" t="n">
        <v>0</v>
      </c>
    </row>
    <row r="246" customFormat="false" ht="15" hidden="false" customHeight="false" outlineLevel="0" collapsed="false">
      <c r="A246" s="174"/>
      <c r="B246" s="174"/>
      <c r="C246" s="174"/>
      <c r="D246" s="175" t="s">
        <v>328</v>
      </c>
      <c r="E246" s="176"/>
      <c r="F246" s="176"/>
      <c r="G246" s="178" t="n">
        <v>50</v>
      </c>
      <c r="H246" s="174"/>
    </row>
    <row r="247" customFormat="false" ht="15" hidden="false" customHeight="true" outlineLevel="0" collapsed="false">
      <c r="A247" s="139" t="s">
        <v>484</v>
      </c>
      <c r="B247" s="139" t="s">
        <v>109</v>
      </c>
      <c r="C247" s="139" t="s">
        <v>485</v>
      </c>
      <c r="D247" s="140" t="s">
        <v>486</v>
      </c>
      <c r="E247" s="140"/>
      <c r="F247" s="139" t="s">
        <v>202</v>
      </c>
      <c r="G247" s="142" t="n">
        <v>10</v>
      </c>
      <c r="H247" s="142" t="n">
        <v>0</v>
      </c>
    </row>
    <row r="248" customFormat="false" ht="15" hidden="false" customHeight="false" outlineLevel="0" collapsed="false">
      <c r="A248" s="174"/>
      <c r="B248" s="174"/>
      <c r="C248" s="174"/>
      <c r="D248" s="175" t="s">
        <v>192</v>
      </c>
      <c r="E248" s="176"/>
      <c r="F248" s="176"/>
      <c r="G248" s="178" t="n">
        <v>10</v>
      </c>
      <c r="H248" s="174"/>
    </row>
    <row r="249" customFormat="false" ht="15" hidden="false" customHeight="true" outlineLevel="0" collapsed="false">
      <c r="A249" s="139" t="s">
        <v>487</v>
      </c>
      <c r="B249" s="139" t="s">
        <v>109</v>
      </c>
      <c r="C249" s="139" t="s">
        <v>488</v>
      </c>
      <c r="D249" s="140" t="s">
        <v>489</v>
      </c>
      <c r="E249" s="140"/>
      <c r="F249" s="139" t="s">
        <v>202</v>
      </c>
      <c r="G249" s="142" t="n">
        <v>50</v>
      </c>
      <c r="H249" s="142" t="n">
        <v>0</v>
      </c>
    </row>
    <row r="250" customFormat="false" ht="15" hidden="false" customHeight="false" outlineLevel="0" collapsed="false">
      <c r="A250" s="174"/>
      <c r="B250" s="174"/>
      <c r="C250" s="174"/>
      <c r="D250" s="175" t="s">
        <v>328</v>
      </c>
      <c r="E250" s="176"/>
      <c r="F250" s="176"/>
      <c r="G250" s="178" t="n">
        <v>50</v>
      </c>
      <c r="H250" s="174"/>
    </row>
    <row r="251" customFormat="false" ht="15" hidden="false" customHeight="true" outlineLevel="0" collapsed="false">
      <c r="A251" s="139" t="s">
        <v>490</v>
      </c>
      <c r="B251" s="139" t="s">
        <v>109</v>
      </c>
      <c r="C251" s="139" t="s">
        <v>491</v>
      </c>
      <c r="D251" s="140" t="s">
        <v>492</v>
      </c>
      <c r="E251" s="140"/>
      <c r="F251" s="139" t="s">
        <v>202</v>
      </c>
      <c r="G251" s="142" t="n">
        <v>30</v>
      </c>
      <c r="H251" s="142" t="n">
        <v>0</v>
      </c>
    </row>
    <row r="252" customFormat="false" ht="15" hidden="false" customHeight="false" outlineLevel="0" collapsed="false">
      <c r="A252" s="174"/>
      <c r="B252" s="174"/>
      <c r="C252" s="174"/>
      <c r="D252" s="175" t="s">
        <v>262</v>
      </c>
      <c r="E252" s="176"/>
      <c r="F252" s="176"/>
      <c r="G252" s="178" t="n">
        <v>30</v>
      </c>
      <c r="H252" s="174"/>
    </row>
    <row r="253" customFormat="false" ht="15" hidden="false" customHeight="true" outlineLevel="0" collapsed="false">
      <c r="A253" s="139" t="s">
        <v>493</v>
      </c>
      <c r="B253" s="139" t="s">
        <v>109</v>
      </c>
      <c r="C253" s="139" t="s">
        <v>494</v>
      </c>
      <c r="D253" s="140" t="s">
        <v>480</v>
      </c>
      <c r="E253" s="140"/>
      <c r="F253" s="139" t="s">
        <v>202</v>
      </c>
      <c r="G253" s="142" t="n">
        <v>50</v>
      </c>
      <c r="H253" s="142" t="n">
        <v>0</v>
      </c>
    </row>
    <row r="254" customFormat="false" ht="15" hidden="false" customHeight="false" outlineLevel="0" collapsed="false">
      <c r="A254" s="174"/>
      <c r="B254" s="174"/>
      <c r="C254" s="174"/>
      <c r="D254" s="175" t="s">
        <v>328</v>
      </c>
      <c r="E254" s="176"/>
      <c r="F254" s="176"/>
      <c r="G254" s="178" t="n">
        <v>50</v>
      </c>
      <c r="H254" s="174"/>
    </row>
    <row r="255" customFormat="false" ht="15" hidden="false" customHeight="true" outlineLevel="0" collapsed="false">
      <c r="A255" s="139" t="s">
        <v>495</v>
      </c>
      <c r="B255" s="139" t="s">
        <v>109</v>
      </c>
      <c r="C255" s="139" t="s">
        <v>496</v>
      </c>
      <c r="D255" s="140" t="s">
        <v>497</v>
      </c>
      <c r="E255" s="140"/>
      <c r="F255" s="139" t="s">
        <v>202</v>
      </c>
      <c r="G255" s="142" t="n">
        <v>50</v>
      </c>
      <c r="H255" s="142" t="n">
        <v>0</v>
      </c>
    </row>
    <row r="256" customFormat="false" ht="15" hidden="false" customHeight="false" outlineLevel="0" collapsed="false">
      <c r="A256" s="174"/>
      <c r="B256" s="174"/>
      <c r="C256" s="174"/>
      <c r="D256" s="175" t="s">
        <v>328</v>
      </c>
      <c r="E256" s="176"/>
      <c r="F256" s="176"/>
      <c r="G256" s="178" t="n">
        <v>50</v>
      </c>
      <c r="H256" s="174"/>
    </row>
    <row r="257" customFormat="false" ht="15" hidden="false" customHeight="true" outlineLevel="0" collapsed="false">
      <c r="A257" s="134" t="s">
        <v>498</v>
      </c>
      <c r="B257" s="134" t="s">
        <v>109</v>
      </c>
      <c r="C257" s="134" t="s">
        <v>499</v>
      </c>
      <c r="D257" s="135" t="s">
        <v>500</v>
      </c>
      <c r="E257" s="135"/>
      <c r="F257" s="134" t="s">
        <v>169</v>
      </c>
      <c r="G257" s="137" t="n">
        <v>9.8</v>
      </c>
      <c r="H257" s="137" t="n">
        <v>0</v>
      </c>
    </row>
    <row r="258" customFormat="false" ht="15" hidden="false" customHeight="false" outlineLevel="0" collapsed="false">
      <c r="A258" s="174"/>
      <c r="B258" s="174"/>
      <c r="C258" s="174"/>
      <c r="D258" s="175" t="s">
        <v>721</v>
      </c>
      <c r="E258" s="176"/>
      <c r="F258" s="176"/>
      <c r="G258" s="177" t="n">
        <v>9.8</v>
      </c>
      <c r="H258" s="174"/>
    </row>
    <row r="259" customFormat="false" ht="15" hidden="false" customHeight="true" outlineLevel="0" collapsed="false">
      <c r="A259" s="139" t="s">
        <v>501</v>
      </c>
      <c r="B259" s="139" t="s">
        <v>109</v>
      </c>
      <c r="C259" s="139" t="s">
        <v>502</v>
      </c>
      <c r="D259" s="140" t="s">
        <v>503</v>
      </c>
      <c r="E259" s="140"/>
      <c r="F259" s="139" t="s">
        <v>325</v>
      </c>
      <c r="G259" s="142" t="n">
        <v>0.294</v>
      </c>
      <c r="H259" s="142" t="n">
        <v>0</v>
      </c>
    </row>
    <row r="260" customFormat="false" ht="15" hidden="false" customHeight="false" outlineLevel="0" collapsed="false">
      <c r="A260" s="174"/>
      <c r="B260" s="174"/>
      <c r="C260" s="174"/>
      <c r="D260" s="175" t="s">
        <v>722</v>
      </c>
      <c r="E260" s="176"/>
      <c r="F260" s="176"/>
      <c r="G260" s="178" t="n">
        <v>0.294</v>
      </c>
      <c r="H260" s="174"/>
    </row>
    <row r="261" customFormat="false" ht="15" hidden="false" customHeight="true" outlineLevel="0" collapsed="false">
      <c r="A261" s="134" t="s">
        <v>504</v>
      </c>
      <c r="B261" s="134" t="s">
        <v>109</v>
      </c>
      <c r="C261" s="134" t="s">
        <v>505</v>
      </c>
      <c r="D261" s="135" t="s">
        <v>506</v>
      </c>
      <c r="E261" s="135"/>
      <c r="F261" s="134" t="s">
        <v>169</v>
      </c>
      <c r="G261" s="137" t="n">
        <v>9.8</v>
      </c>
      <c r="H261" s="137" t="n">
        <v>0</v>
      </c>
    </row>
    <row r="262" customFormat="false" ht="15" hidden="false" customHeight="false" outlineLevel="0" collapsed="false">
      <c r="A262" s="174"/>
      <c r="B262" s="174"/>
      <c r="C262" s="174"/>
      <c r="D262" s="175" t="s">
        <v>721</v>
      </c>
      <c r="E262" s="176"/>
      <c r="F262" s="176"/>
      <c r="G262" s="177" t="n">
        <v>9.8</v>
      </c>
      <c r="H262" s="174"/>
    </row>
    <row r="263" customFormat="false" ht="15" hidden="false" customHeight="true" outlineLevel="0" collapsed="false">
      <c r="A263" s="134" t="s">
        <v>507</v>
      </c>
      <c r="B263" s="134" t="s">
        <v>109</v>
      </c>
      <c r="C263" s="134" t="s">
        <v>508</v>
      </c>
      <c r="D263" s="135" t="s">
        <v>509</v>
      </c>
      <c r="E263" s="135"/>
      <c r="F263" s="134" t="s">
        <v>169</v>
      </c>
      <c r="G263" s="137" t="n">
        <v>9.8</v>
      </c>
      <c r="H263" s="137" t="n">
        <v>0</v>
      </c>
    </row>
    <row r="264" customFormat="false" ht="15" hidden="false" customHeight="false" outlineLevel="0" collapsed="false">
      <c r="A264" s="174"/>
      <c r="B264" s="174"/>
      <c r="C264" s="174"/>
      <c r="D264" s="175" t="s">
        <v>721</v>
      </c>
      <c r="E264" s="176"/>
      <c r="F264" s="176"/>
      <c r="G264" s="177" t="n">
        <v>9.8</v>
      </c>
      <c r="H264" s="174"/>
    </row>
    <row r="265" customFormat="false" ht="15" hidden="false" customHeight="true" outlineLevel="0" collapsed="false">
      <c r="A265" s="134" t="s">
        <v>510</v>
      </c>
      <c r="B265" s="134" t="s">
        <v>109</v>
      </c>
      <c r="C265" s="134" t="s">
        <v>511</v>
      </c>
      <c r="D265" s="135" t="s">
        <v>512</v>
      </c>
      <c r="E265" s="135"/>
      <c r="F265" s="134" t="s">
        <v>169</v>
      </c>
      <c r="G265" s="137" t="n">
        <v>9.8</v>
      </c>
      <c r="H265" s="137" t="n">
        <v>0</v>
      </c>
    </row>
    <row r="266" customFormat="false" ht="15" hidden="false" customHeight="false" outlineLevel="0" collapsed="false">
      <c r="A266" s="174"/>
      <c r="B266" s="174"/>
      <c r="C266" s="174"/>
      <c r="D266" s="175" t="s">
        <v>721</v>
      </c>
      <c r="E266" s="176"/>
      <c r="F266" s="176"/>
      <c r="G266" s="177" t="n">
        <v>9.8</v>
      </c>
      <c r="H266" s="174"/>
    </row>
    <row r="267" customFormat="false" ht="15" hidden="false" customHeight="true" outlineLevel="0" collapsed="false">
      <c r="A267" s="134" t="s">
        <v>513</v>
      </c>
      <c r="B267" s="134" t="s">
        <v>109</v>
      </c>
      <c r="C267" s="134" t="s">
        <v>365</v>
      </c>
      <c r="D267" s="135" t="s">
        <v>366</v>
      </c>
      <c r="E267" s="135"/>
      <c r="F267" s="134" t="s">
        <v>169</v>
      </c>
      <c r="G267" s="137" t="n">
        <v>19.6</v>
      </c>
      <c r="H267" s="137" t="n">
        <v>0</v>
      </c>
    </row>
    <row r="268" customFormat="false" ht="15" hidden="false" customHeight="false" outlineLevel="0" collapsed="false">
      <c r="A268" s="174"/>
      <c r="B268" s="174"/>
      <c r="C268" s="174"/>
      <c r="D268" s="175" t="s">
        <v>723</v>
      </c>
      <c r="E268" s="176"/>
      <c r="F268" s="176"/>
      <c r="G268" s="177" t="n">
        <v>19.6</v>
      </c>
      <c r="H268" s="174"/>
    </row>
    <row r="269" customFormat="false" ht="15" hidden="false" customHeight="true" outlineLevel="0" collapsed="false">
      <c r="A269" s="139" t="s">
        <v>514</v>
      </c>
      <c r="B269" s="139" t="s">
        <v>109</v>
      </c>
      <c r="C269" s="139" t="s">
        <v>370</v>
      </c>
      <c r="D269" s="140" t="s">
        <v>371</v>
      </c>
      <c r="E269" s="140"/>
      <c r="F269" s="139" t="s">
        <v>372</v>
      </c>
      <c r="G269" s="142" t="n">
        <v>0.001</v>
      </c>
      <c r="H269" s="142" t="n">
        <v>0</v>
      </c>
    </row>
    <row r="270" customFormat="false" ht="15" hidden="false" customHeight="false" outlineLevel="0" collapsed="false">
      <c r="A270" s="174"/>
      <c r="B270" s="174"/>
      <c r="C270" s="174"/>
      <c r="D270" s="175" t="s">
        <v>724</v>
      </c>
      <c r="E270" s="176"/>
      <c r="F270" s="176"/>
      <c r="G270" s="178" t="n">
        <v>0.001</v>
      </c>
      <c r="H270" s="174"/>
    </row>
    <row r="271" customFormat="false" ht="15" hidden="false" customHeight="false" outlineLevel="0" collapsed="false">
      <c r="A271" s="139"/>
      <c r="B271" s="139"/>
      <c r="C271" s="139"/>
      <c r="D271" s="175" t="s">
        <v>725</v>
      </c>
      <c r="E271" s="176"/>
      <c r="F271" s="176"/>
      <c r="G271" s="178" t="n">
        <v>0</v>
      </c>
      <c r="H271" s="143"/>
    </row>
    <row r="272" customFormat="false" ht="15" hidden="false" customHeight="true" outlineLevel="0" collapsed="false">
      <c r="A272" s="134" t="s">
        <v>515</v>
      </c>
      <c r="B272" s="134" t="s">
        <v>109</v>
      </c>
      <c r="C272" s="134" t="s">
        <v>410</v>
      </c>
      <c r="D272" s="135" t="s">
        <v>411</v>
      </c>
      <c r="E272" s="135"/>
      <c r="F272" s="134" t="s">
        <v>189</v>
      </c>
      <c r="G272" s="137" t="n">
        <v>0.196</v>
      </c>
      <c r="H272" s="137" t="n">
        <v>0</v>
      </c>
    </row>
    <row r="273" customFormat="false" ht="15" hidden="false" customHeight="false" outlineLevel="0" collapsed="false">
      <c r="A273" s="174"/>
      <c r="B273" s="174"/>
      <c r="C273" s="174"/>
      <c r="D273" s="175" t="s">
        <v>726</v>
      </c>
      <c r="E273" s="176"/>
      <c r="F273" s="176"/>
      <c r="G273" s="177" t="n">
        <v>0.196</v>
      </c>
      <c r="H273" s="174"/>
    </row>
    <row r="274" customFormat="false" ht="15" hidden="false" customHeight="true" outlineLevel="0" collapsed="false">
      <c r="A274" s="134" t="s">
        <v>516</v>
      </c>
      <c r="B274" s="134" t="s">
        <v>109</v>
      </c>
      <c r="C274" s="134" t="s">
        <v>413</v>
      </c>
      <c r="D274" s="135" t="s">
        <v>414</v>
      </c>
      <c r="E274" s="135"/>
      <c r="F274" s="134" t="s">
        <v>189</v>
      </c>
      <c r="G274" s="137" t="n">
        <v>0.196</v>
      </c>
      <c r="H274" s="137" t="n">
        <v>0</v>
      </c>
    </row>
    <row r="275" customFormat="false" ht="15" hidden="false" customHeight="false" outlineLevel="0" collapsed="false">
      <c r="A275" s="174"/>
      <c r="B275" s="174"/>
      <c r="C275" s="174"/>
      <c r="D275" s="175" t="s">
        <v>727</v>
      </c>
      <c r="E275" s="176"/>
      <c r="F275" s="176"/>
      <c r="G275" s="177" t="n">
        <v>0.196</v>
      </c>
      <c r="H275" s="174"/>
    </row>
    <row r="276" customFormat="false" ht="15" hidden="false" customHeight="true" outlineLevel="0" collapsed="false">
      <c r="A276" s="134" t="s">
        <v>517</v>
      </c>
      <c r="B276" s="134" t="s">
        <v>109</v>
      </c>
      <c r="C276" s="134" t="s">
        <v>518</v>
      </c>
      <c r="D276" s="135" t="s">
        <v>519</v>
      </c>
      <c r="E276" s="135"/>
      <c r="F276" s="134" t="s">
        <v>169</v>
      </c>
      <c r="G276" s="137" t="n">
        <v>9.8</v>
      </c>
      <c r="H276" s="137" t="n">
        <v>0</v>
      </c>
    </row>
    <row r="277" customFormat="false" ht="15" hidden="false" customHeight="false" outlineLevel="0" collapsed="false">
      <c r="A277" s="174"/>
      <c r="B277" s="174"/>
      <c r="C277" s="174"/>
      <c r="D277" s="175" t="s">
        <v>721</v>
      </c>
      <c r="E277" s="176"/>
      <c r="F277" s="176"/>
      <c r="G277" s="177" t="n">
        <v>9.8</v>
      </c>
      <c r="H277" s="174"/>
    </row>
    <row r="278" customFormat="false" ht="15" hidden="false" customHeight="true" outlineLevel="0" collapsed="false">
      <c r="A278" s="139" t="s">
        <v>520</v>
      </c>
      <c r="B278" s="139" t="s">
        <v>109</v>
      </c>
      <c r="C278" s="139" t="s">
        <v>521</v>
      </c>
      <c r="D278" s="140" t="s">
        <v>522</v>
      </c>
      <c r="E278" s="140"/>
      <c r="F278" s="139" t="s">
        <v>179</v>
      </c>
      <c r="G278" s="142" t="n">
        <v>1.725</v>
      </c>
      <c r="H278" s="142" t="n">
        <v>0</v>
      </c>
    </row>
    <row r="279" customFormat="false" ht="15" hidden="false" customHeight="false" outlineLevel="0" collapsed="false">
      <c r="A279" s="174"/>
      <c r="B279" s="174"/>
      <c r="C279" s="174"/>
      <c r="D279" s="175" t="s">
        <v>728</v>
      </c>
      <c r="E279" s="176"/>
      <c r="F279" s="176"/>
      <c r="G279" s="178" t="n">
        <v>1.568</v>
      </c>
      <c r="H279" s="174"/>
    </row>
    <row r="280" customFormat="false" ht="15" hidden="false" customHeight="false" outlineLevel="0" collapsed="false">
      <c r="A280" s="139"/>
      <c r="B280" s="139"/>
      <c r="C280" s="139"/>
      <c r="D280" s="175" t="s">
        <v>729</v>
      </c>
      <c r="E280" s="176"/>
      <c r="F280" s="176"/>
      <c r="G280" s="178" t="n">
        <v>0.157</v>
      </c>
      <c r="H280" s="143"/>
    </row>
    <row r="281" customFormat="false" ht="15" hidden="false" customHeight="true" outlineLevel="0" collapsed="false">
      <c r="A281" s="134" t="s">
        <v>523</v>
      </c>
      <c r="B281" s="134" t="s">
        <v>109</v>
      </c>
      <c r="C281" s="134" t="s">
        <v>524</v>
      </c>
      <c r="D281" s="135" t="s">
        <v>525</v>
      </c>
      <c r="E281" s="135"/>
      <c r="F281" s="134" t="s">
        <v>179</v>
      </c>
      <c r="G281" s="137" t="n">
        <v>6.919</v>
      </c>
      <c r="H281" s="137" t="n">
        <v>0</v>
      </c>
    </row>
    <row r="282" customFormat="false" ht="15" hidden="false" customHeight="false" outlineLevel="0" collapsed="false">
      <c r="A282" s="174"/>
      <c r="B282" s="174"/>
      <c r="C282" s="174"/>
      <c r="D282" s="175" t="s">
        <v>730</v>
      </c>
      <c r="E282" s="176"/>
      <c r="F282" s="176"/>
      <c r="G282" s="177" t="n">
        <v>6.919</v>
      </c>
      <c r="H282" s="174"/>
    </row>
    <row r="283" customFormat="false" ht="15" hidden="false" customHeight="true" outlineLevel="0" collapsed="false">
      <c r="A283" s="134" t="s">
        <v>528</v>
      </c>
      <c r="B283" s="134" t="s">
        <v>109</v>
      </c>
      <c r="C283" s="134" t="s">
        <v>410</v>
      </c>
      <c r="D283" s="135" t="s">
        <v>529</v>
      </c>
      <c r="E283" s="135"/>
      <c r="F283" s="134" t="s">
        <v>189</v>
      </c>
      <c r="G283" s="137" t="n">
        <v>3.37</v>
      </c>
      <c r="H283" s="137" t="n">
        <v>0</v>
      </c>
    </row>
    <row r="284" customFormat="false" ht="15" hidden="false" customHeight="false" outlineLevel="0" collapsed="false">
      <c r="A284" s="174"/>
      <c r="B284" s="174"/>
      <c r="C284" s="174"/>
      <c r="D284" s="175" t="s">
        <v>731</v>
      </c>
      <c r="E284" s="176" t="s">
        <v>732</v>
      </c>
      <c r="F284" s="176"/>
      <c r="G284" s="177" t="n">
        <v>3.37</v>
      </c>
      <c r="H284" s="174"/>
    </row>
    <row r="285" customFormat="false" ht="15" hidden="false" customHeight="true" outlineLevel="0" collapsed="false">
      <c r="A285" s="134" t="s">
        <v>531</v>
      </c>
      <c r="B285" s="134" t="s">
        <v>109</v>
      </c>
      <c r="C285" s="134" t="s">
        <v>410</v>
      </c>
      <c r="D285" s="135" t="s">
        <v>532</v>
      </c>
      <c r="E285" s="135"/>
      <c r="F285" s="134" t="s">
        <v>189</v>
      </c>
      <c r="G285" s="137" t="n">
        <v>3.528</v>
      </c>
      <c r="H285" s="137" t="n">
        <v>0</v>
      </c>
    </row>
    <row r="286" customFormat="false" ht="15" hidden="false" customHeight="false" outlineLevel="0" collapsed="false">
      <c r="A286" s="174"/>
      <c r="B286" s="174"/>
      <c r="C286" s="174"/>
      <c r="D286" s="175" t="s">
        <v>733</v>
      </c>
      <c r="E286" s="176" t="s">
        <v>734</v>
      </c>
      <c r="F286" s="176"/>
      <c r="G286" s="177" t="n">
        <v>3.528</v>
      </c>
      <c r="H286" s="174"/>
    </row>
    <row r="287" customFormat="false" ht="15" hidden="false" customHeight="true" outlineLevel="0" collapsed="false">
      <c r="A287" s="134" t="s">
        <v>533</v>
      </c>
      <c r="B287" s="134" t="s">
        <v>109</v>
      </c>
      <c r="C287" s="134" t="s">
        <v>413</v>
      </c>
      <c r="D287" s="135" t="s">
        <v>534</v>
      </c>
      <c r="E287" s="135"/>
      <c r="F287" s="134" t="s">
        <v>189</v>
      </c>
      <c r="G287" s="137" t="n">
        <v>6.898</v>
      </c>
      <c r="H287" s="137" t="n">
        <v>0</v>
      </c>
    </row>
    <row r="288" customFormat="false" ht="15" hidden="false" customHeight="false" outlineLevel="0" collapsed="false">
      <c r="A288" s="174"/>
      <c r="B288" s="174"/>
      <c r="C288" s="174"/>
      <c r="D288" s="175" t="s">
        <v>735</v>
      </c>
      <c r="E288" s="176"/>
      <c r="F288" s="176"/>
      <c r="G288" s="177" t="n">
        <v>6.898</v>
      </c>
      <c r="H288" s="174"/>
    </row>
    <row r="289" customFormat="false" ht="15" hidden="false" customHeight="true" outlineLevel="0" collapsed="false">
      <c r="A289" s="134" t="s">
        <v>535</v>
      </c>
      <c r="B289" s="134" t="s">
        <v>109</v>
      </c>
      <c r="C289" s="134" t="s">
        <v>536</v>
      </c>
      <c r="D289" s="135" t="s">
        <v>537</v>
      </c>
      <c r="E289" s="135"/>
      <c r="F289" s="134" t="s">
        <v>169</v>
      </c>
      <c r="G289" s="137" t="n">
        <v>67.4</v>
      </c>
      <c r="H289" s="137" t="n">
        <v>0</v>
      </c>
    </row>
    <row r="290" customFormat="false" ht="15" hidden="false" customHeight="false" outlineLevel="0" collapsed="false">
      <c r="A290" s="174"/>
      <c r="B290" s="174"/>
      <c r="C290" s="174"/>
      <c r="D290" s="175" t="s">
        <v>708</v>
      </c>
      <c r="E290" s="176"/>
      <c r="F290" s="176"/>
      <c r="G290" s="177" t="n">
        <v>67.4</v>
      </c>
      <c r="H290" s="174"/>
    </row>
    <row r="291" customFormat="false" ht="15" hidden="false" customHeight="true" outlineLevel="0" collapsed="false">
      <c r="A291" s="134" t="s">
        <v>538</v>
      </c>
      <c r="B291" s="134" t="s">
        <v>109</v>
      </c>
      <c r="C291" s="134" t="s">
        <v>539</v>
      </c>
      <c r="D291" s="135" t="s">
        <v>540</v>
      </c>
      <c r="E291" s="135"/>
      <c r="F291" s="134" t="s">
        <v>169</v>
      </c>
      <c r="G291" s="137" t="n">
        <v>67.4</v>
      </c>
      <c r="H291" s="137" t="n">
        <v>0</v>
      </c>
    </row>
    <row r="292" customFormat="false" ht="15" hidden="false" customHeight="false" outlineLevel="0" collapsed="false">
      <c r="A292" s="174"/>
      <c r="B292" s="174"/>
      <c r="C292" s="174"/>
      <c r="D292" s="175" t="s">
        <v>736</v>
      </c>
      <c r="E292" s="176"/>
      <c r="F292" s="176"/>
      <c r="G292" s="177" t="n">
        <v>67.4</v>
      </c>
      <c r="H292" s="174"/>
    </row>
    <row r="293" customFormat="false" ht="15" hidden="false" customHeight="true" outlineLevel="0" collapsed="false">
      <c r="A293" s="134" t="s">
        <v>541</v>
      </c>
      <c r="B293" s="134" t="s">
        <v>109</v>
      </c>
      <c r="C293" s="134" t="s">
        <v>542</v>
      </c>
      <c r="D293" s="135" t="s">
        <v>543</v>
      </c>
      <c r="E293" s="135"/>
      <c r="F293" s="134" t="s">
        <v>169</v>
      </c>
      <c r="G293" s="137" t="n">
        <v>67.4</v>
      </c>
      <c r="H293" s="137" t="n">
        <v>0</v>
      </c>
    </row>
    <row r="294" customFormat="false" ht="15" hidden="false" customHeight="false" outlineLevel="0" collapsed="false">
      <c r="A294" s="174"/>
      <c r="B294" s="174"/>
      <c r="C294" s="174"/>
      <c r="D294" s="175" t="s">
        <v>736</v>
      </c>
      <c r="E294" s="176"/>
      <c r="F294" s="176"/>
      <c r="G294" s="177" t="n">
        <v>67.4</v>
      </c>
      <c r="H294" s="174"/>
    </row>
    <row r="295" customFormat="false" ht="15" hidden="false" customHeight="true" outlineLevel="0" collapsed="false">
      <c r="A295" s="134" t="s">
        <v>544</v>
      </c>
      <c r="B295" s="134" t="s">
        <v>109</v>
      </c>
      <c r="C295" s="134" t="s">
        <v>545</v>
      </c>
      <c r="D295" s="135" t="s">
        <v>546</v>
      </c>
      <c r="E295" s="135"/>
      <c r="F295" s="134" t="s">
        <v>547</v>
      </c>
      <c r="G295" s="137" t="n">
        <v>0.005</v>
      </c>
      <c r="H295" s="137" t="n">
        <v>0</v>
      </c>
    </row>
    <row r="296" customFormat="false" ht="15" hidden="false" customHeight="false" outlineLevel="0" collapsed="false">
      <c r="A296" s="174"/>
      <c r="B296" s="174"/>
      <c r="C296" s="174"/>
      <c r="D296" s="175" t="s">
        <v>737</v>
      </c>
      <c r="E296" s="176"/>
      <c r="F296" s="176"/>
      <c r="G296" s="177" t="n">
        <v>0.005</v>
      </c>
      <c r="H296" s="174"/>
    </row>
    <row r="297" customFormat="false" ht="15" hidden="false" customHeight="true" outlineLevel="0" collapsed="false">
      <c r="A297" s="134" t="s">
        <v>548</v>
      </c>
      <c r="B297" s="134" t="s">
        <v>111</v>
      </c>
      <c r="C297" s="134" t="s">
        <v>549</v>
      </c>
      <c r="D297" s="135" t="s">
        <v>550</v>
      </c>
      <c r="E297" s="135"/>
      <c r="F297" s="134" t="s">
        <v>189</v>
      </c>
      <c r="G297" s="137" t="n">
        <v>1.318</v>
      </c>
      <c r="H297" s="137" t="n">
        <v>0</v>
      </c>
    </row>
    <row r="298" customFormat="false" ht="15" hidden="false" customHeight="false" outlineLevel="0" collapsed="false">
      <c r="A298" s="174"/>
      <c r="B298" s="174"/>
      <c r="C298" s="174"/>
      <c r="D298" s="175" t="s">
        <v>738</v>
      </c>
      <c r="E298" s="176" t="s">
        <v>739</v>
      </c>
      <c r="F298" s="176"/>
      <c r="G298" s="177" t="n">
        <v>0.04</v>
      </c>
      <c r="H298" s="174"/>
    </row>
    <row r="299" customFormat="false" ht="15" hidden="false" customHeight="false" outlineLevel="0" collapsed="false">
      <c r="A299" s="134"/>
      <c r="B299" s="134"/>
      <c r="C299" s="134"/>
      <c r="D299" s="175" t="s">
        <v>740</v>
      </c>
      <c r="E299" s="176" t="s">
        <v>741</v>
      </c>
      <c r="F299" s="176"/>
      <c r="G299" s="177" t="n">
        <v>0.915</v>
      </c>
      <c r="H299" s="138"/>
    </row>
    <row r="300" customFormat="false" ht="15" hidden="false" customHeight="false" outlineLevel="0" collapsed="false">
      <c r="A300" s="134"/>
      <c r="B300" s="134"/>
      <c r="C300" s="134"/>
      <c r="D300" s="175" t="s">
        <v>742</v>
      </c>
      <c r="E300" s="176" t="s">
        <v>743</v>
      </c>
      <c r="F300" s="176"/>
      <c r="G300" s="177" t="n">
        <v>0.02</v>
      </c>
      <c r="H300" s="138"/>
    </row>
    <row r="301" customFormat="false" ht="15" hidden="false" customHeight="false" outlineLevel="0" collapsed="false">
      <c r="A301" s="134"/>
      <c r="B301" s="134"/>
      <c r="C301" s="134"/>
      <c r="D301" s="175" t="s">
        <v>744</v>
      </c>
      <c r="E301" s="176" t="s">
        <v>741</v>
      </c>
      <c r="F301" s="176"/>
      <c r="G301" s="177" t="n">
        <v>0.343</v>
      </c>
      <c r="H301" s="138"/>
    </row>
    <row r="302" customFormat="false" ht="15" hidden="false" customHeight="true" outlineLevel="0" collapsed="false">
      <c r="A302" s="134" t="s">
        <v>553</v>
      </c>
      <c r="B302" s="134" t="s">
        <v>111</v>
      </c>
      <c r="C302" s="134" t="s">
        <v>554</v>
      </c>
      <c r="D302" s="135" t="s">
        <v>555</v>
      </c>
      <c r="E302" s="135"/>
      <c r="F302" s="134" t="s">
        <v>189</v>
      </c>
      <c r="G302" s="137" t="n">
        <v>1.318</v>
      </c>
      <c r="H302" s="137" t="n">
        <v>0</v>
      </c>
    </row>
    <row r="303" customFormat="false" ht="15" hidden="false" customHeight="false" outlineLevel="0" collapsed="false">
      <c r="A303" s="174"/>
      <c r="B303" s="174"/>
      <c r="C303" s="174"/>
      <c r="D303" s="175" t="s">
        <v>745</v>
      </c>
      <c r="E303" s="176"/>
      <c r="F303" s="176"/>
      <c r="G303" s="177" t="n">
        <v>1.318</v>
      </c>
      <c r="H303" s="174"/>
    </row>
    <row r="304" customFormat="false" ht="15" hidden="false" customHeight="true" outlineLevel="0" collapsed="false">
      <c r="A304" s="134" t="s">
        <v>557</v>
      </c>
      <c r="B304" s="134" t="s">
        <v>111</v>
      </c>
      <c r="C304" s="134" t="s">
        <v>263</v>
      </c>
      <c r="D304" s="135" t="s">
        <v>558</v>
      </c>
      <c r="E304" s="135"/>
      <c r="F304" s="134" t="s">
        <v>189</v>
      </c>
      <c r="G304" s="137" t="n">
        <v>1.318</v>
      </c>
      <c r="H304" s="137" t="n">
        <v>0</v>
      </c>
    </row>
    <row r="305" customFormat="false" ht="15" hidden="false" customHeight="false" outlineLevel="0" collapsed="false">
      <c r="A305" s="174"/>
      <c r="B305" s="174"/>
      <c r="C305" s="174"/>
      <c r="D305" s="175" t="s">
        <v>745</v>
      </c>
      <c r="E305" s="176"/>
      <c r="F305" s="176"/>
      <c r="G305" s="177" t="n">
        <v>1.318</v>
      </c>
      <c r="H305" s="174"/>
    </row>
    <row r="306" customFormat="false" ht="15" hidden="false" customHeight="true" outlineLevel="0" collapsed="false">
      <c r="A306" s="134" t="s">
        <v>560</v>
      </c>
      <c r="B306" s="134" t="s">
        <v>111</v>
      </c>
      <c r="C306" s="134" t="s">
        <v>266</v>
      </c>
      <c r="D306" s="135" t="s">
        <v>267</v>
      </c>
      <c r="E306" s="135"/>
      <c r="F306" s="134" t="s">
        <v>189</v>
      </c>
      <c r="G306" s="137" t="n">
        <v>19.77</v>
      </c>
      <c r="H306" s="137" t="n">
        <v>0</v>
      </c>
    </row>
    <row r="307" customFormat="false" ht="15" hidden="false" customHeight="false" outlineLevel="0" collapsed="false">
      <c r="A307" s="174"/>
      <c r="B307" s="174"/>
      <c r="C307" s="174"/>
      <c r="D307" s="175" t="s">
        <v>746</v>
      </c>
      <c r="E307" s="176"/>
      <c r="F307" s="176"/>
      <c r="G307" s="177" t="n">
        <v>19.77</v>
      </c>
      <c r="H307" s="174"/>
    </row>
    <row r="308" customFormat="false" ht="15" hidden="false" customHeight="true" outlineLevel="0" collapsed="false">
      <c r="A308" s="134" t="s">
        <v>561</v>
      </c>
      <c r="B308" s="134" t="s">
        <v>111</v>
      </c>
      <c r="C308" s="134" t="s">
        <v>272</v>
      </c>
      <c r="D308" s="135" t="s">
        <v>562</v>
      </c>
      <c r="E308" s="135"/>
      <c r="F308" s="134" t="s">
        <v>189</v>
      </c>
      <c r="G308" s="137" t="n">
        <v>1.318</v>
      </c>
      <c r="H308" s="137" t="n">
        <v>0</v>
      </c>
    </row>
    <row r="309" customFormat="false" ht="15" hidden="false" customHeight="false" outlineLevel="0" collapsed="false">
      <c r="A309" s="174"/>
      <c r="B309" s="174"/>
      <c r="C309" s="174"/>
      <c r="D309" s="175" t="s">
        <v>745</v>
      </c>
      <c r="E309" s="176"/>
      <c r="F309" s="176"/>
      <c r="G309" s="177" t="n">
        <v>1.318</v>
      </c>
      <c r="H309" s="174"/>
    </row>
    <row r="310" customFormat="false" ht="15" hidden="false" customHeight="true" outlineLevel="0" collapsed="false">
      <c r="A310" s="134" t="s">
        <v>564</v>
      </c>
      <c r="B310" s="134" t="s">
        <v>111</v>
      </c>
      <c r="C310" s="134" t="s">
        <v>294</v>
      </c>
      <c r="D310" s="135" t="s">
        <v>565</v>
      </c>
      <c r="E310" s="135"/>
      <c r="F310" s="134" t="s">
        <v>189</v>
      </c>
      <c r="G310" s="137" t="n">
        <v>0.363</v>
      </c>
      <c r="H310" s="137" t="n">
        <v>0</v>
      </c>
    </row>
    <row r="311" customFormat="false" ht="15" hidden="false" customHeight="false" outlineLevel="0" collapsed="false">
      <c r="A311" s="174"/>
      <c r="B311" s="174"/>
      <c r="C311" s="174"/>
      <c r="D311" s="175" t="s">
        <v>742</v>
      </c>
      <c r="E311" s="176" t="s">
        <v>743</v>
      </c>
      <c r="F311" s="176"/>
      <c r="G311" s="177" t="n">
        <v>0.02</v>
      </c>
      <c r="H311" s="174"/>
    </row>
    <row r="312" customFormat="false" ht="15" hidden="false" customHeight="false" outlineLevel="0" collapsed="false">
      <c r="A312" s="134"/>
      <c r="B312" s="134"/>
      <c r="C312" s="134"/>
      <c r="D312" s="175" t="s">
        <v>744</v>
      </c>
      <c r="E312" s="176" t="s">
        <v>741</v>
      </c>
      <c r="F312" s="176"/>
      <c r="G312" s="177" t="n">
        <v>0.343</v>
      </c>
      <c r="H312" s="138"/>
    </row>
    <row r="313" customFormat="false" ht="15" hidden="false" customHeight="true" outlineLevel="0" collapsed="false">
      <c r="A313" s="134" t="s">
        <v>569</v>
      </c>
      <c r="B313" s="134" t="s">
        <v>111</v>
      </c>
      <c r="C313" s="134" t="s">
        <v>570</v>
      </c>
      <c r="D313" s="135" t="s">
        <v>571</v>
      </c>
      <c r="E313" s="135"/>
      <c r="F313" s="134" t="s">
        <v>189</v>
      </c>
      <c r="G313" s="137" t="n">
        <v>0.955</v>
      </c>
      <c r="H313" s="137" t="n">
        <v>0</v>
      </c>
    </row>
    <row r="314" customFormat="false" ht="15" hidden="false" customHeight="false" outlineLevel="0" collapsed="false">
      <c r="A314" s="174"/>
      <c r="B314" s="174"/>
      <c r="C314" s="174"/>
      <c r="D314" s="175" t="s">
        <v>738</v>
      </c>
      <c r="E314" s="176" t="s">
        <v>739</v>
      </c>
      <c r="F314" s="176"/>
      <c r="G314" s="177" t="n">
        <v>0.04</v>
      </c>
      <c r="H314" s="174"/>
    </row>
    <row r="315" customFormat="false" ht="15" hidden="false" customHeight="false" outlineLevel="0" collapsed="false">
      <c r="A315" s="134"/>
      <c r="B315" s="134"/>
      <c r="C315" s="134"/>
      <c r="D315" s="175" t="s">
        <v>740</v>
      </c>
      <c r="E315" s="176" t="s">
        <v>741</v>
      </c>
      <c r="F315" s="176"/>
      <c r="G315" s="177" t="n">
        <v>0.915</v>
      </c>
      <c r="H315" s="138"/>
    </row>
    <row r="316" customFormat="false" ht="15" hidden="false" customHeight="true" outlineLevel="0" collapsed="false">
      <c r="A316" s="134" t="s">
        <v>574</v>
      </c>
      <c r="B316" s="134" t="s">
        <v>111</v>
      </c>
      <c r="C316" s="134" t="s">
        <v>575</v>
      </c>
      <c r="D316" s="135" t="s">
        <v>576</v>
      </c>
      <c r="E316" s="135"/>
      <c r="F316" s="134" t="s">
        <v>154</v>
      </c>
      <c r="G316" s="137" t="n">
        <v>0.8</v>
      </c>
      <c r="H316" s="137" t="n">
        <v>0</v>
      </c>
    </row>
    <row r="317" customFormat="false" ht="15" hidden="false" customHeight="false" outlineLevel="0" collapsed="false">
      <c r="A317" s="174"/>
      <c r="B317" s="174"/>
      <c r="C317" s="174"/>
      <c r="D317" s="175" t="s">
        <v>747</v>
      </c>
      <c r="E317" s="176" t="s">
        <v>739</v>
      </c>
      <c r="F317" s="176"/>
      <c r="G317" s="177" t="n">
        <v>0.8</v>
      </c>
      <c r="H317" s="174"/>
    </row>
    <row r="318" customFormat="false" ht="15" hidden="false" customHeight="true" outlineLevel="0" collapsed="false">
      <c r="A318" s="134" t="s">
        <v>579</v>
      </c>
      <c r="B318" s="134" t="s">
        <v>111</v>
      </c>
      <c r="C318" s="134" t="s">
        <v>580</v>
      </c>
      <c r="D318" s="135" t="s">
        <v>581</v>
      </c>
      <c r="E318" s="135"/>
      <c r="F318" s="134" t="s">
        <v>154</v>
      </c>
      <c r="G318" s="137" t="n">
        <v>14.4</v>
      </c>
      <c r="H318" s="137" t="n">
        <v>0</v>
      </c>
    </row>
    <row r="319" customFormat="false" ht="15" hidden="false" customHeight="false" outlineLevel="0" collapsed="false">
      <c r="A319" s="174"/>
      <c r="B319" s="174"/>
      <c r="C319" s="174"/>
      <c r="D319" s="175" t="s">
        <v>748</v>
      </c>
      <c r="E319" s="176" t="s">
        <v>741</v>
      </c>
      <c r="F319" s="176"/>
      <c r="G319" s="177" t="n">
        <v>14.4</v>
      </c>
      <c r="H319" s="174"/>
    </row>
    <row r="320" customFormat="false" ht="15" hidden="false" customHeight="true" outlineLevel="0" collapsed="false">
      <c r="A320" s="139" t="s">
        <v>582</v>
      </c>
      <c r="B320" s="139" t="s">
        <v>111</v>
      </c>
      <c r="C320" s="139" t="s">
        <v>583</v>
      </c>
      <c r="D320" s="140" t="s">
        <v>584</v>
      </c>
      <c r="E320" s="140"/>
      <c r="F320" s="139" t="s">
        <v>202</v>
      </c>
      <c r="G320" s="142" t="n">
        <v>4.4</v>
      </c>
      <c r="H320" s="142" t="n">
        <v>0</v>
      </c>
    </row>
    <row r="321" customFormat="false" ht="15" hidden="false" customHeight="false" outlineLevel="0" collapsed="false">
      <c r="A321" s="174"/>
      <c r="B321" s="174"/>
      <c r="C321" s="174"/>
      <c r="D321" s="175" t="s">
        <v>749</v>
      </c>
      <c r="E321" s="176"/>
      <c r="F321" s="176"/>
      <c r="G321" s="178" t="n">
        <v>4</v>
      </c>
      <c r="H321" s="174"/>
    </row>
    <row r="322" customFormat="false" ht="15" hidden="false" customHeight="false" outlineLevel="0" collapsed="false">
      <c r="A322" s="139"/>
      <c r="B322" s="139"/>
      <c r="C322" s="139"/>
      <c r="D322" s="175" t="s">
        <v>750</v>
      </c>
      <c r="E322" s="176"/>
      <c r="F322" s="176"/>
      <c r="G322" s="178" t="n">
        <v>0.4</v>
      </c>
      <c r="H322" s="143"/>
    </row>
    <row r="323" customFormat="false" ht="15" hidden="false" customHeight="true" outlineLevel="0" collapsed="false">
      <c r="A323" s="139" t="s">
        <v>585</v>
      </c>
      <c r="B323" s="139" t="s">
        <v>111</v>
      </c>
      <c r="C323" s="139" t="s">
        <v>586</v>
      </c>
      <c r="D323" s="140" t="s">
        <v>587</v>
      </c>
      <c r="E323" s="140"/>
      <c r="F323" s="139" t="s">
        <v>202</v>
      </c>
      <c r="G323" s="142" t="n">
        <v>79.2</v>
      </c>
      <c r="H323" s="142" t="n">
        <v>0</v>
      </c>
    </row>
    <row r="324" customFormat="false" ht="15" hidden="false" customHeight="false" outlineLevel="0" collapsed="false">
      <c r="A324" s="174"/>
      <c r="B324" s="174"/>
      <c r="C324" s="174"/>
      <c r="D324" s="175" t="s">
        <v>751</v>
      </c>
      <c r="E324" s="176"/>
      <c r="F324" s="176"/>
      <c r="G324" s="178" t="n">
        <v>72</v>
      </c>
      <c r="H324" s="174"/>
    </row>
    <row r="325" customFormat="false" ht="15" hidden="false" customHeight="false" outlineLevel="0" collapsed="false">
      <c r="A325" s="139"/>
      <c r="B325" s="139"/>
      <c r="C325" s="139"/>
      <c r="D325" s="175" t="s">
        <v>752</v>
      </c>
      <c r="E325" s="176"/>
      <c r="F325" s="176"/>
      <c r="G325" s="178" t="n">
        <v>7.2</v>
      </c>
      <c r="H325" s="143"/>
    </row>
    <row r="326" customFormat="false" ht="15" hidden="false" customHeight="true" outlineLevel="0" collapsed="false">
      <c r="A326" s="134" t="s">
        <v>588</v>
      </c>
      <c r="B326" s="134" t="s">
        <v>111</v>
      </c>
      <c r="C326" s="134" t="s">
        <v>334</v>
      </c>
      <c r="D326" s="135" t="s">
        <v>589</v>
      </c>
      <c r="E326" s="135"/>
      <c r="F326" s="134" t="s">
        <v>179</v>
      </c>
      <c r="G326" s="137" t="n">
        <v>0.002</v>
      </c>
      <c r="H326" s="137" t="n">
        <v>0</v>
      </c>
    </row>
    <row r="327" customFormat="false" ht="15" hidden="false" customHeight="false" outlineLevel="0" collapsed="false">
      <c r="A327" s="174"/>
      <c r="B327" s="174"/>
      <c r="C327" s="174"/>
      <c r="D327" s="175" t="s">
        <v>753</v>
      </c>
      <c r="E327" s="176"/>
      <c r="F327" s="176"/>
      <c r="G327" s="177" t="n">
        <v>0.002</v>
      </c>
      <c r="H327" s="174"/>
    </row>
    <row r="328" customFormat="false" ht="24.05" hidden="false" customHeight="true" outlineLevel="0" collapsed="false">
      <c r="A328" s="134" t="s">
        <v>591</v>
      </c>
      <c r="B328" s="134" t="s">
        <v>111</v>
      </c>
      <c r="C328" s="134" t="s">
        <v>592</v>
      </c>
      <c r="D328" s="135" t="s">
        <v>593</v>
      </c>
      <c r="E328" s="135"/>
      <c r="F328" s="134" t="s">
        <v>594</v>
      </c>
      <c r="G328" s="137" t="n">
        <v>6</v>
      </c>
      <c r="H328" s="137" t="n">
        <v>0</v>
      </c>
    </row>
    <row r="329" customFormat="false" ht="15" hidden="false" customHeight="false" outlineLevel="0" collapsed="false">
      <c r="A329" s="174"/>
      <c r="B329" s="174"/>
      <c r="C329" s="174"/>
      <c r="D329" s="175" t="s">
        <v>173</v>
      </c>
      <c r="E329" s="176"/>
      <c r="F329" s="176"/>
      <c r="G329" s="177" t="n">
        <v>6</v>
      </c>
      <c r="H329" s="174"/>
    </row>
    <row r="330" customFormat="false" ht="24.05" hidden="false" customHeight="true" outlineLevel="0" collapsed="false">
      <c r="A330" s="134" t="s">
        <v>597</v>
      </c>
      <c r="B330" s="134" t="s">
        <v>111</v>
      </c>
      <c r="C330" s="134" t="s">
        <v>598</v>
      </c>
      <c r="D330" s="135" t="s">
        <v>599</v>
      </c>
      <c r="E330" s="135"/>
      <c r="F330" s="134" t="s">
        <v>594</v>
      </c>
      <c r="G330" s="137" t="n">
        <v>1</v>
      </c>
      <c r="H330" s="137" t="n">
        <v>0</v>
      </c>
    </row>
    <row r="331" customFormat="false" ht="15" hidden="false" customHeight="false" outlineLevel="0" collapsed="false">
      <c r="A331" s="174"/>
      <c r="B331" s="174"/>
      <c r="C331" s="174"/>
      <c r="D331" s="175" t="s">
        <v>151</v>
      </c>
      <c r="E331" s="176"/>
      <c r="F331" s="176"/>
      <c r="G331" s="177" t="n">
        <v>1</v>
      </c>
      <c r="H331" s="174"/>
    </row>
    <row r="332" customFormat="false" ht="15" hidden="false" customHeight="true" outlineLevel="0" collapsed="false">
      <c r="A332" s="134" t="s">
        <v>600</v>
      </c>
      <c r="B332" s="134" t="s">
        <v>111</v>
      </c>
      <c r="C332" s="134" t="s">
        <v>334</v>
      </c>
      <c r="D332" s="135" t="s">
        <v>589</v>
      </c>
      <c r="E332" s="135"/>
      <c r="F332" s="134" t="s">
        <v>179</v>
      </c>
      <c r="G332" s="137" t="n">
        <v>1.53</v>
      </c>
      <c r="H332" s="137" t="n">
        <v>0</v>
      </c>
    </row>
    <row r="333" customFormat="false" ht="15" hidden="false" customHeight="false" outlineLevel="0" collapsed="false">
      <c r="A333" s="174"/>
      <c r="B333" s="174"/>
      <c r="C333" s="174"/>
      <c r="D333" s="175" t="s">
        <v>754</v>
      </c>
      <c r="E333" s="176"/>
      <c r="F333" s="176"/>
      <c r="G333" s="177" t="n">
        <v>1.53</v>
      </c>
      <c r="H333" s="174"/>
    </row>
    <row r="334" customFormat="false" ht="15" hidden="false" customHeight="true" outlineLevel="0" collapsed="false">
      <c r="A334" s="134" t="s">
        <v>603</v>
      </c>
      <c r="B334" s="134" t="s">
        <v>111</v>
      </c>
      <c r="C334" s="134" t="s">
        <v>182</v>
      </c>
      <c r="D334" s="135" t="s">
        <v>183</v>
      </c>
      <c r="E334" s="135"/>
      <c r="F334" s="134" t="s">
        <v>179</v>
      </c>
      <c r="G334" s="137" t="n">
        <v>3.224</v>
      </c>
      <c r="H334" s="137" t="n">
        <v>0</v>
      </c>
    </row>
    <row r="335" customFormat="false" ht="15" hidden="false" customHeight="false" outlineLevel="0" collapsed="false">
      <c r="A335" s="174"/>
      <c r="B335" s="174"/>
      <c r="C335" s="174"/>
      <c r="D335" s="175" t="s">
        <v>755</v>
      </c>
      <c r="E335" s="176"/>
      <c r="F335" s="176"/>
      <c r="G335" s="177" t="n">
        <v>3.224</v>
      </c>
      <c r="H335" s="174"/>
    </row>
    <row r="336" customFormat="false" ht="24.05" hidden="false" customHeight="true" outlineLevel="0" collapsed="false">
      <c r="A336" s="134" t="s">
        <v>608</v>
      </c>
      <c r="B336" s="134" t="s">
        <v>113</v>
      </c>
      <c r="C336" s="134" t="s">
        <v>609</v>
      </c>
      <c r="D336" s="135" t="s">
        <v>610</v>
      </c>
      <c r="E336" s="135"/>
      <c r="F336" s="134" t="s">
        <v>163</v>
      </c>
      <c r="G336" s="137" t="n">
        <v>16</v>
      </c>
      <c r="H336" s="137" t="n">
        <v>0</v>
      </c>
    </row>
    <row r="337" customFormat="false" ht="15" hidden="false" customHeight="false" outlineLevel="0" collapsed="false">
      <c r="A337" s="174"/>
      <c r="B337" s="174"/>
      <c r="C337" s="174"/>
      <c r="D337" s="175" t="s">
        <v>756</v>
      </c>
      <c r="E337" s="176"/>
      <c r="F337" s="176"/>
      <c r="G337" s="177" t="n">
        <v>16</v>
      </c>
      <c r="H337" s="174"/>
    </row>
    <row r="338" customFormat="false" ht="15" hidden="false" customHeight="true" outlineLevel="0" collapsed="false">
      <c r="A338" s="134" t="s">
        <v>614</v>
      </c>
      <c r="B338" s="134" t="s">
        <v>113</v>
      </c>
      <c r="C338" s="134" t="s">
        <v>609</v>
      </c>
      <c r="D338" s="135" t="s">
        <v>615</v>
      </c>
      <c r="E338" s="135"/>
      <c r="F338" s="134" t="s">
        <v>163</v>
      </c>
      <c r="G338" s="137" t="n">
        <v>25</v>
      </c>
      <c r="H338" s="137" t="n">
        <v>0</v>
      </c>
    </row>
    <row r="339" customFormat="false" ht="15" hidden="false" customHeight="false" outlineLevel="0" collapsed="false">
      <c r="A339" s="174"/>
      <c r="B339" s="174"/>
      <c r="C339" s="174"/>
      <c r="D339" s="175" t="s">
        <v>247</v>
      </c>
      <c r="E339" s="176"/>
      <c r="F339" s="176"/>
      <c r="G339" s="177" t="n">
        <v>25</v>
      </c>
      <c r="H339" s="174"/>
    </row>
    <row r="340" customFormat="false" ht="15" hidden="false" customHeight="true" outlineLevel="0" collapsed="false">
      <c r="A340" s="134" t="s">
        <v>616</v>
      </c>
      <c r="B340" s="134" t="s">
        <v>113</v>
      </c>
      <c r="C340" s="134" t="s">
        <v>609</v>
      </c>
      <c r="D340" s="135" t="s">
        <v>617</v>
      </c>
      <c r="E340" s="135"/>
      <c r="F340" s="134" t="s">
        <v>163</v>
      </c>
      <c r="G340" s="137" t="n">
        <v>3</v>
      </c>
      <c r="H340" s="137" t="n">
        <v>0</v>
      </c>
    </row>
    <row r="341" customFormat="false" ht="15" hidden="false" customHeight="false" outlineLevel="0" collapsed="false">
      <c r="A341" s="174"/>
      <c r="B341" s="174"/>
      <c r="C341" s="174"/>
      <c r="D341" s="175" t="s">
        <v>164</v>
      </c>
      <c r="E341" s="176"/>
      <c r="F341" s="176"/>
      <c r="G341" s="177" t="n">
        <v>3</v>
      </c>
      <c r="H341" s="174"/>
    </row>
    <row r="342" customFormat="false" ht="15" hidden="false" customHeight="true" outlineLevel="0" collapsed="false">
      <c r="A342" s="134" t="s">
        <v>618</v>
      </c>
      <c r="B342" s="134" t="s">
        <v>113</v>
      </c>
      <c r="C342" s="134" t="s">
        <v>609</v>
      </c>
      <c r="D342" s="135" t="s">
        <v>619</v>
      </c>
      <c r="E342" s="135"/>
      <c r="F342" s="134" t="s">
        <v>163</v>
      </c>
      <c r="G342" s="137" t="n">
        <v>20</v>
      </c>
      <c r="H342" s="137" t="n">
        <v>0</v>
      </c>
    </row>
    <row r="343" customFormat="false" ht="15" hidden="false" customHeight="false" outlineLevel="0" collapsed="false">
      <c r="A343" s="174"/>
      <c r="B343" s="174"/>
      <c r="C343" s="174"/>
      <c r="D343" s="175" t="s">
        <v>228</v>
      </c>
      <c r="E343" s="176"/>
      <c r="F343" s="176"/>
      <c r="G343" s="177" t="n">
        <v>20</v>
      </c>
      <c r="H343" s="174"/>
    </row>
    <row r="344" customFormat="false" ht="24.05" hidden="false" customHeight="true" outlineLevel="0" collapsed="false">
      <c r="A344" s="134" t="s">
        <v>620</v>
      </c>
      <c r="B344" s="134" t="s">
        <v>113</v>
      </c>
      <c r="C344" s="134" t="s">
        <v>609</v>
      </c>
      <c r="D344" s="135" t="s">
        <v>621</v>
      </c>
      <c r="E344" s="135"/>
      <c r="F344" s="134" t="s">
        <v>163</v>
      </c>
      <c r="G344" s="137" t="n">
        <v>10</v>
      </c>
      <c r="H344" s="137" t="n">
        <v>0</v>
      </c>
    </row>
    <row r="345" customFormat="false" ht="15" hidden="false" customHeight="false" outlineLevel="0" collapsed="false">
      <c r="A345" s="174"/>
      <c r="B345" s="174"/>
      <c r="C345" s="174"/>
      <c r="D345" s="175" t="s">
        <v>192</v>
      </c>
      <c r="E345" s="176"/>
      <c r="F345" s="176"/>
      <c r="G345" s="177" t="n">
        <v>10</v>
      </c>
      <c r="H345" s="174"/>
    </row>
    <row r="346" customFormat="false" ht="15" hidden="false" customHeight="true" outlineLevel="0" collapsed="false">
      <c r="A346" s="134" t="s">
        <v>622</v>
      </c>
      <c r="B346" s="134" t="s">
        <v>113</v>
      </c>
      <c r="C346" s="134" t="s">
        <v>609</v>
      </c>
      <c r="D346" s="135" t="s">
        <v>623</v>
      </c>
      <c r="E346" s="135"/>
      <c r="F346" s="134" t="s">
        <v>163</v>
      </c>
      <c r="G346" s="137" t="n">
        <v>5</v>
      </c>
      <c r="H346" s="137" t="n">
        <v>0</v>
      </c>
    </row>
    <row r="347" customFormat="false" ht="15" hidden="false" customHeight="false" outlineLevel="0" collapsed="false">
      <c r="A347" s="174"/>
      <c r="B347" s="174"/>
      <c r="C347" s="174"/>
      <c r="D347" s="175" t="s">
        <v>170</v>
      </c>
      <c r="E347" s="176"/>
      <c r="F347" s="176"/>
      <c r="G347" s="177" t="n">
        <v>5</v>
      </c>
      <c r="H347" s="174"/>
    </row>
    <row r="348" customFormat="false" ht="15" hidden="false" customHeight="true" outlineLevel="0" collapsed="false">
      <c r="A348" s="134" t="s">
        <v>624</v>
      </c>
      <c r="B348" s="134" t="s">
        <v>113</v>
      </c>
      <c r="C348" s="134" t="s">
        <v>609</v>
      </c>
      <c r="D348" s="135" t="s">
        <v>625</v>
      </c>
      <c r="E348" s="135"/>
      <c r="F348" s="134" t="s">
        <v>163</v>
      </c>
      <c r="G348" s="137" t="n">
        <v>15</v>
      </c>
      <c r="H348" s="137" t="n">
        <v>0</v>
      </c>
    </row>
    <row r="349" customFormat="false" ht="15" hidden="false" customHeight="false" outlineLevel="0" collapsed="false">
      <c r="A349" s="174"/>
      <c r="B349" s="174"/>
      <c r="C349" s="174"/>
      <c r="D349" s="175" t="s">
        <v>213</v>
      </c>
      <c r="E349" s="176"/>
      <c r="F349" s="176"/>
      <c r="G349" s="177" t="n">
        <v>15</v>
      </c>
      <c r="H349" s="174"/>
    </row>
    <row r="350" customFormat="false" ht="24.05" hidden="false" customHeight="true" outlineLevel="0" collapsed="false">
      <c r="A350" s="134" t="s">
        <v>626</v>
      </c>
      <c r="B350" s="134" t="s">
        <v>113</v>
      </c>
      <c r="C350" s="134" t="s">
        <v>627</v>
      </c>
      <c r="D350" s="135" t="s">
        <v>628</v>
      </c>
      <c r="E350" s="135"/>
      <c r="F350" s="134" t="s">
        <v>79</v>
      </c>
      <c r="G350" s="137"/>
      <c r="H350" s="137" t="n">
        <v>0</v>
      </c>
    </row>
    <row r="351" customFormat="false" ht="15" hidden="false" customHeight="false" outlineLevel="0" collapsed="false">
      <c r="A351" s="174"/>
      <c r="B351" s="174"/>
      <c r="C351" s="174"/>
      <c r="D351" s="175"/>
      <c r="E351" s="176"/>
      <c r="F351" s="176"/>
      <c r="G351" s="177"/>
      <c r="H351" s="174"/>
    </row>
    <row r="352" customFormat="false" ht="15" hidden="false" customHeight="true" outlineLevel="0" collapsed="false">
      <c r="A352" s="134" t="s">
        <v>629</v>
      </c>
      <c r="B352" s="134" t="s">
        <v>113</v>
      </c>
      <c r="C352" s="134" t="s">
        <v>630</v>
      </c>
      <c r="D352" s="135" t="s">
        <v>631</v>
      </c>
      <c r="E352" s="135"/>
      <c r="F352" s="134" t="s">
        <v>79</v>
      </c>
      <c r="G352" s="137"/>
      <c r="H352" s="137" t="n">
        <v>0</v>
      </c>
    </row>
    <row r="353" customFormat="false" ht="15" hidden="false" customHeight="false" outlineLevel="0" collapsed="false">
      <c r="A353" s="174"/>
      <c r="B353" s="174"/>
      <c r="C353" s="174"/>
      <c r="D353" s="175"/>
      <c r="E353" s="176"/>
      <c r="F353" s="176"/>
      <c r="G353" s="177"/>
      <c r="H353" s="174"/>
    </row>
    <row r="354" customFormat="false" ht="24.05" hidden="false" customHeight="true" outlineLevel="0" collapsed="false">
      <c r="A354" s="134" t="s">
        <v>632</v>
      </c>
      <c r="B354" s="134" t="s">
        <v>113</v>
      </c>
      <c r="C354" s="134" t="s">
        <v>633</v>
      </c>
      <c r="D354" s="135" t="s">
        <v>634</v>
      </c>
      <c r="E354" s="135"/>
      <c r="F354" s="134" t="s">
        <v>635</v>
      </c>
      <c r="G354" s="137" t="n">
        <v>1</v>
      </c>
      <c r="H354" s="137" t="n">
        <v>0</v>
      </c>
    </row>
    <row r="355" customFormat="false" ht="15" hidden="false" customHeight="false" outlineLevel="0" collapsed="false">
      <c r="A355" s="174"/>
      <c r="B355" s="174"/>
      <c r="C355" s="174"/>
      <c r="D355" s="175" t="s">
        <v>151</v>
      </c>
      <c r="E355" s="176"/>
      <c r="F355" s="176"/>
      <c r="G355" s="177" t="n">
        <v>1</v>
      </c>
      <c r="H355" s="174"/>
    </row>
    <row r="357" customFormat="false" ht="15" hidden="false" customHeight="false" outlineLevel="0" collapsed="false">
      <c r="A357" s="1"/>
    </row>
    <row r="358" customFormat="false" ht="15" hidden="true" customHeight="false" outlineLevel="0" collapsed="false">
      <c r="A358" s="9"/>
      <c r="B358" s="9"/>
      <c r="C358" s="9"/>
      <c r="D358" s="9"/>
      <c r="E358" s="9"/>
      <c r="F358" s="9"/>
      <c r="G358" s="9"/>
    </row>
  </sheetData>
  <mergeCells count="364">
    <mergeCell ref="A1:H1"/>
    <mergeCell ref="A2:B3"/>
    <mergeCell ref="C2:D3"/>
    <mergeCell ref="E2:E3"/>
    <mergeCell ref="F2:H3"/>
    <mergeCell ref="A4:B5"/>
    <mergeCell ref="C4:D5"/>
    <mergeCell ref="E4:E5"/>
    <mergeCell ref="F4:H5"/>
    <mergeCell ref="A6:B7"/>
    <mergeCell ref="C6:D7"/>
    <mergeCell ref="E6:E7"/>
    <mergeCell ref="F6:H7"/>
    <mergeCell ref="A8:B9"/>
    <mergeCell ref="C8:D9"/>
    <mergeCell ref="E8:E9"/>
    <mergeCell ref="F8:H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E30:F30"/>
    <mergeCell ref="D31:E31"/>
    <mergeCell ref="E32:F32"/>
    <mergeCell ref="D33:E33"/>
    <mergeCell ref="E34:F34"/>
    <mergeCell ref="D35:E35"/>
    <mergeCell ref="E36:F36"/>
    <mergeCell ref="D37:E37"/>
    <mergeCell ref="E38:F38"/>
    <mergeCell ref="D39:E39"/>
    <mergeCell ref="E40:F40"/>
    <mergeCell ref="D41:E41"/>
    <mergeCell ref="E42:F42"/>
    <mergeCell ref="E43:F43"/>
    <mergeCell ref="D44:E44"/>
    <mergeCell ref="E45:F45"/>
    <mergeCell ref="D46:E46"/>
    <mergeCell ref="E47:F47"/>
    <mergeCell ref="D48:E48"/>
    <mergeCell ref="E49:F49"/>
    <mergeCell ref="E50:F50"/>
    <mergeCell ref="D51:E51"/>
    <mergeCell ref="E52:F52"/>
    <mergeCell ref="E53:F53"/>
    <mergeCell ref="D54:E54"/>
    <mergeCell ref="E55:F55"/>
    <mergeCell ref="D56:E56"/>
    <mergeCell ref="E57:F57"/>
    <mergeCell ref="D58:E58"/>
    <mergeCell ref="E59:F59"/>
    <mergeCell ref="D60:E60"/>
    <mergeCell ref="E61:F61"/>
    <mergeCell ref="D62:E62"/>
    <mergeCell ref="E63:F63"/>
    <mergeCell ref="D64:E64"/>
    <mergeCell ref="E65:F65"/>
    <mergeCell ref="D66:E66"/>
    <mergeCell ref="E67:F67"/>
    <mergeCell ref="D68:E68"/>
    <mergeCell ref="E69:F69"/>
    <mergeCell ref="D70:E70"/>
    <mergeCell ref="E71:F71"/>
    <mergeCell ref="D72:E72"/>
    <mergeCell ref="E73:F73"/>
    <mergeCell ref="D74:E74"/>
    <mergeCell ref="E75:F75"/>
    <mergeCell ref="D76:E76"/>
    <mergeCell ref="E77:F77"/>
    <mergeCell ref="D78:E78"/>
    <mergeCell ref="E79:F79"/>
    <mergeCell ref="D80:E80"/>
    <mergeCell ref="E81:F81"/>
    <mergeCell ref="D82:E82"/>
    <mergeCell ref="E83:F83"/>
    <mergeCell ref="D84:E84"/>
    <mergeCell ref="E85:F85"/>
    <mergeCell ref="D86:E86"/>
    <mergeCell ref="E87:F87"/>
    <mergeCell ref="D88:E88"/>
    <mergeCell ref="E89:F89"/>
    <mergeCell ref="D90:E90"/>
    <mergeCell ref="E91:F91"/>
    <mergeCell ref="D92:E92"/>
    <mergeCell ref="E93:F93"/>
    <mergeCell ref="D94:E94"/>
    <mergeCell ref="E95:F95"/>
    <mergeCell ref="D96:E96"/>
    <mergeCell ref="E97:F97"/>
    <mergeCell ref="D98:E98"/>
    <mergeCell ref="E99:F99"/>
    <mergeCell ref="D100:E100"/>
    <mergeCell ref="E101:F101"/>
    <mergeCell ref="D102:E102"/>
    <mergeCell ref="E103:F103"/>
    <mergeCell ref="D104:E104"/>
    <mergeCell ref="E105:F105"/>
    <mergeCell ref="E106:F106"/>
    <mergeCell ref="D107:E107"/>
    <mergeCell ref="E108:F108"/>
    <mergeCell ref="D109:E109"/>
    <mergeCell ref="E110:F110"/>
    <mergeCell ref="D111:E111"/>
    <mergeCell ref="E112:F112"/>
    <mergeCell ref="D113:E113"/>
    <mergeCell ref="E114:F114"/>
    <mergeCell ref="D115:E115"/>
    <mergeCell ref="E116:F116"/>
    <mergeCell ref="E117:F117"/>
    <mergeCell ref="D118:E118"/>
    <mergeCell ref="E119:F119"/>
    <mergeCell ref="D120:E120"/>
    <mergeCell ref="E121:F121"/>
    <mergeCell ref="D122:E122"/>
    <mergeCell ref="E123:F123"/>
    <mergeCell ref="D124:E124"/>
    <mergeCell ref="E125:F125"/>
    <mergeCell ref="D126:E126"/>
    <mergeCell ref="E127:F127"/>
    <mergeCell ref="D128:E128"/>
    <mergeCell ref="E129:F129"/>
    <mergeCell ref="D130:E130"/>
    <mergeCell ref="E131:F131"/>
    <mergeCell ref="E132:F132"/>
    <mergeCell ref="D133:E133"/>
    <mergeCell ref="E134:F134"/>
    <mergeCell ref="E135:F135"/>
    <mergeCell ref="E136:F136"/>
    <mergeCell ref="E137:F137"/>
    <mergeCell ref="D138:E138"/>
    <mergeCell ref="E139:F139"/>
    <mergeCell ref="E140:F140"/>
    <mergeCell ref="E141:F141"/>
    <mergeCell ref="E142:F142"/>
    <mergeCell ref="D143:E143"/>
    <mergeCell ref="E144:F144"/>
    <mergeCell ref="D145:E145"/>
    <mergeCell ref="E146:F146"/>
    <mergeCell ref="D147:E147"/>
    <mergeCell ref="E148:F148"/>
    <mergeCell ref="D149:E149"/>
    <mergeCell ref="E150:F150"/>
    <mergeCell ref="D151:E151"/>
    <mergeCell ref="E152:F152"/>
    <mergeCell ref="D153:E153"/>
    <mergeCell ref="E154:F154"/>
    <mergeCell ref="E155:F155"/>
    <mergeCell ref="D156:E156"/>
    <mergeCell ref="E157:F157"/>
    <mergeCell ref="D158:E158"/>
    <mergeCell ref="E159:F159"/>
    <mergeCell ref="E160:F160"/>
    <mergeCell ref="D161:E161"/>
    <mergeCell ref="E162:F162"/>
    <mergeCell ref="D163:E163"/>
    <mergeCell ref="E164:F164"/>
    <mergeCell ref="D165:E165"/>
    <mergeCell ref="E166:F166"/>
    <mergeCell ref="E167:F167"/>
    <mergeCell ref="D168:E168"/>
    <mergeCell ref="E169:F169"/>
    <mergeCell ref="D170:E170"/>
    <mergeCell ref="E171:F171"/>
    <mergeCell ref="D172:E172"/>
    <mergeCell ref="E173:F173"/>
    <mergeCell ref="D174:E174"/>
    <mergeCell ref="E175:F175"/>
    <mergeCell ref="D176:E176"/>
    <mergeCell ref="E177:F177"/>
    <mergeCell ref="D178:E178"/>
    <mergeCell ref="E179:F179"/>
    <mergeCell ref="D180:E180"/>
    <mergeCell ref="E181:F181"/>
    <mergeCell ref="D182:E182"/>
    <mergeCell ref="E183:F183"/>
    <mergeCell ref="D184:E184"/>
    <mergeCell ref="E185:F185"/>
    <mergeCell ref="D186:E186"/>
    <mergeCell ref="E187:F187"/>
    <mergeCell ref="E188:F188"/>
    <mergeCell ref="D189:E189"/>
    <mergeCell ref="E190:F190"/>
    <mergeCell ref="D191:E191"/>
    <mergeCell ref="E192:F192"/>
    <mergeCell ref="D193:E193"/>
    <mergeCell ref="E194:F194"/>
    <mergeCell ref="D195:E195"/>
    <mergeCell ref="E196:F196"/>
    <mergeCell ref="D197:E197"/>
    <mergeCell ref="E198:F198"/>
    <mergeCell ref="D199:E199"/>
    <mergeCell ref="E200:F200"/>
    <mergeCell ref="D201:E201"/>
    <mergeCell ref="E202:F202"/>
    <mergeCell ref="D203:E203"/>
    <mergeCell ref="E204:F204"/>
    <mergeCell ref="D205:E205"/>
    <mergeCell ref="E206:F206"/>
    <mergeCell ref="D207:E207"/>
    <mergeCell ref="E208:F208"/>
    <mergeCell ref="D209:E209"/>
    <mergeCell ref="E210:F210"/>
    <mergeCell ref="D211:E211"/>
    <mergeCell ref="E212:F212"/>
    <mergeCell ref="D213:E213"/>
    <mergeCell ref="E214:F214"/>
    <mergeCell ref="D215:E215"/>
    <mergeCell ref="E216:F216"/>
    <mergeCell ref="D217:E217"/>
    <mergeCell ref="E218:F218"/>
    <mergeCell ref="D219:E219"/>
    <mergeCell ref="E220:F220"/>
    <mergeCell ref="D221:E221"/>
    <mergeCell ref="E222:F222"/>
    <mergeCell ref="D223:E223"/>
    <mergeCell ref="E224:F224"/>
    <mergeCell ref="D225:E225"/>
    <mergeCell ref="E226:F226"/>
    <mergeCell ref="D227:E227"/>
    <mergeCell ref="E228:F228"/>
    <mergeCell ref="D229:E229"/>
    <mergeCell ref="E230:F230"/>
    <mergeCell ref="D231:E231"/>
    <mergeCell ref="E232:F232"/>
    <mergeCell ref="D233:E233"/>
    <mergeCell ref="E234:F234"/>
    <mergeCell ref="D235:E235"/>
    <mergeCell ref="E236:F236"/>
    <mergeCell ref="D237:E237"/>
    <mergeCell ref="E238:F238"/>
    <mergeCell ref="D239:E239"/>
    <mergeCell ref="E240:F240"/>
    <mergeCell ref="D241:E241"/>
    <mergeCell ref="E242:F242"/>
    <mergeCell ref="D243:E243"/>
    <mergeCell ref="E244:F244"/>
    <mergeCell ref="D245:E245"/>
    <mergeCell ref="E246:F246"/>
    <mergeCell ref="D247:E247"/>
    <mergeCell ref="E248:F248"/>
    <mergeCell ref="D249:E249"/>
    <mergeCell ref="E250:F250"/>
    <mergeCell ref="D251:E251"/>
    <mergeCell ref="E252:F252"/>
    <mergeCell ref="D253:E253"/>
    <mergeCell ref="E254:F254"/>
    <mergeCell ref="D255:E255"/>
    <mergeCell ref="E256:F256"/>
    <mergeCell ref="D257:E257"/>
    <mergeCell ref="E258:F258"/>
    <mergeCell ref="D259:E259"/>
    <mergeCell ref="E260:F260"/>
    <mergeCell ref="D261:E261"/>
    <mergeCell ref="E262:F262"/>
    <mergeCell ref="D263:E263"/>
    <mergeCell ref="E264:F264"/>
    <mergeCell ref="D265:E265"/>
    <mergeCell ref="E266:F266"/>
    <mergeCell ref="D267:E267"/>
    <mergeCell ref="E268:F268"/>
    <mergeCell ref="D269:E269"/>
    <mergeCell ref="E270:F270"/>
    <mergeCell ref="E271:F271"/>
    <mergeCell ref="D272:E272"/>
    <mergeCell ref="E273:F273"/>
    <mergeCell ref="D274:E274"/>
    <mergeCell ref="E275:F275"/>
    <mergeCell ref="D276:E276"/>
    <mergeCell ref="E277:F277"/>
    <mergeCell ref="D278:E278"/>
    <mergeCell ref="E279:F279"/>
    <mergeCell ref="E280:F280"/>
    <mergeCell ref="D281:E281"/>
    <mergeCell ref="E282:F282"/>
    <mergeCell ref="D283:E283"/>
    <mergeCell ref="E284:F284"/>
    <mergeCell ref="D285:E285"/>
    <mergeCell ref="E286:F286"/>
    <mergeCell ref="D287:E287"/>
    <mergeCell ref="E288:F288"/>
    <mergeCell ref="D289:E289"/>
    <mergeCell ref="E290:F290"/>
    <mergeCell ref="D291:E291"/>
    <mergeCell ref="E292:F292"/>
    <mergeCell ref="D293:E293"/>
    <mergeCell ref="E294:F294"/>
    <mergeCell ref="D295:E295"/>
    <mergeCell ref="E296:F296"/>
    <mergeCell ref="D297:E297"/>
    <mergeCell ref="E298:F298"/>
    <mergeCell ref="E299:F299"/>
    <mergeCell ref="E300:F300"/>
    <mergeCell ref="E301:F301"/>
    <mergeCell ref="D302:E302"/>
    <mergeCell ref="E303:F303"/>
    <mergeCell ref="D304:E304"/>
    <mergeCell ref="E305:F305"/>
    <mergeCell ref="D306:E306"/>
    <mergeCell ref="E307:F307"/>
    <mergeCell ref="D308:E308"/>
    <mergeCell ref="E309:F309"/>
    <mergeCell ref="D310:E310"/>
    <mergeCell ref="E311:F311"/>
    <mergeCell ref="E312:F312"/>
    <mergeCell ref="D313:E313"/>
    <mergeCell ref="E314:F314"/>
    <mergeCell ref="E315:F315"/>
    <mergeCell ref="D316:E316"/>
    <mergeCell ref="E317:F317"/>
    <mergeCell ref="D318:E318"/>
    <mergeCell ref="E319:F319"/>
    <mergeCell ref="D320:E320"/>
    <mergeCell ref="E321:F321"/>
    <mergeCell ref="E322:F322"/>
    <mergeCell ref="D323:E323"/>
    <mergeCell ref="E324:F324"/>
    <mergeCell ref="E325:F325"/>
    <mergeCell ref="D326:E326"/>
    <mergeCell ref="E327:F327"/>
    <mergeCell ref="D328:E328"/>
    <mergeCell ref="E329:F329"/>
    <mergeCell ref="D330:E330"/>
    <mergeCell ref="E331:F331"/>
    <mergeCell ref="D332:E332"/>
    <mergeCell ref="E333:F333"/>
    <mergeCell ref="D334:E334"/>
    <mergeCell ref="E335:F335"/>
    <mergeCell ref="D336:E336"/>
    <mergeCell ref="E337:F337"/>
    <mergeCell ref="D338:E338"/>
    <mergeCell ref="E339:F339"/>
    <mergeCell ref="D340:E340"/>
    <mergeCell ref="E341:F341"/>
    <mergeCell ref="D342:E342"/>
    <mergeCell ref="E343:F343"/>
    <mergeCell ref="D344:E344"/>
    <mergeCell ref="E345:F345"/>
    <mergeCell ref="D346:E346"/>
    <mergeCell ref="E347:F347"/>
    <mergeCell ref="D348:E348"/>
    <mergeCell ref="E349:F349"/>
    <mergeCell ref="D350:E350"/>
    <mergeCell ref="E351:F351"/>
    <mergeCell ref="D352:E352"/>
    <mergeCell ref="E353:F353"/>
    <mergeCell ref="D354:E354"/>
    <mergeCell ref="E355:F355"/>
    <mergeCell ref="A358:G358"/>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IS177"/>
  <sheetViews>
    <sheetView showFormulas="false" showGridLines="true" showRowColHeaders="true" showZeros="true" rightToLeft="false" tabSelected="false" showOutlineSymbols="true" defaultGridColor="true" view="normal" topLeftCell="A1" colorId="64" zoomScale="124" zoomScaleNormal="124" zoomScalePageLayoutView="100" workbookViewId="0">
      <selection pane="topLeft" activeCell="I175" activeCellId="0" sqref="I175"/>
    </sheetView>
  </sheetViews>
  <sheetFormatPr defaultColWidth="12.1484375" defaultRowHeight="15" customHeight="true" zeroHeight="false" outlineLevelRow="0" outlineLevelCol="0"/>
  <cols>
    <col collapsed="false" customWidth="true" hidden="false" outlineLevel="0" max="1" min="1" style="22" width="4.29"/>
    <col collapsed="false" customWidth="true" hidden="false" outlineLevel="0" max="2" min="2" style="22" width="7.86"/>
    <col collapsed="false" customWidth="true" hidden="false" outlineLevel="0" max="3" min="3" style="22" width="14.25"/>
    <col collapsed="false" customWidth="true" hidden="false" outlineLevel="0" max="4" min="4" style="103" width="44.07"/>
    <col collapsed="false" customWidth="true" hidden="false" outlineLevel="0" max="5" min="5" style="22" width="11.43"/>
    <col collapsed="false" customWidth="true" hidden="false" outlineLevel="0" max="6" min="6" style="22" width="7.61"/>
    <col collapsed="false" customWidth="true" hidden="false" outlineLevel="0" max="7" min="7" style="22" width="25.44"/>
    <col collapsed="false" customWidth="true" hidden="false" outlineLevel="0" max="8" min="8" style="22" width="5.15"/>
    <col collapsed="false" customWidth="true" hidden="false" outlineLevel="0" max="9" min="9" style="22" width="10.06"/>
    <col collapsed="false" customWidth="true" hidden="false" outlineLevel="0" max="10" min="10" style="22" width="23.6"/>
    <col collapsed="false" customWidth="false" hidden="true" outlineLevel="0" max="231" min="230" style="22" width="12.15"/>
    <col collapsed="false" customWidth="false" hidden="true" outlineLevel="0" max="254" min="251" style="22" width="12.15"/>
  </cols>
  <sheetData>
    <row r="1" customFormat="false" ht="15" hidden="false" customHeight="true" outlineLevel="0" collapsed="false">
      <c r="A1" s="179" t="s">
        <v>124</v>
      </c>
      <c r="B1" s="179" t="s">
        <v>100</v>
      </c>
      <c r="C1" s="179" t="s">
        <v>125</v>
      </c>
      <c r="D1" s="180" t="s">
        <v>101</v>
      </c>
      <c r="E1" s="180"/>
      <c r="F1" s="180"/>
      <c r="G1" s="179" t="s">
        <v>757</v>
      </c>
      <c r="H1" s="179" t="s">
        <v>126</v>
      </c>
      <c r="I1" s="179" t="s">
        <v>127</v>
      </c>
      <c r="J1" s="79" t="s">
        <v>758</v>
      </c>
      <c r="HV1" s="181" t="s">
        <v>131</v>
      </c>
      <c r="HW1" s="181" t="s">
        <v>130</v>
      </c>
    </row>
    <row r="2" customFormat="false" ht="15" hidden="false" customHeight="true" outlineLevel="0" collapsed="false">
      <c r="A2" s="129" t="s">
        <v>97</v>
      </c>
      <c r="B2" s="129" t="s">
        <v>104</v>
      </c>
      <c r="C2" s="129"/>
      <c r="D2" s="130" t="s">
        <v>105</v>
      </c>
      <c r="E2" s="130"/>
      <c r="F2" s="130"/>
      <c r="G2" s="129" t="s">
        <v>97</v>
      </c>
      <c r="H2" s="129" t="s">
        <v>97</v>
      </c>
      <c r="I2" s="133" t="s">
        <v>97</v>
      </c>
      <c r="J2" s="129" t="s">
        <v>97</v>
      </c>
    </row>
    <row r="3" customFormat="false" ht="15" hidden="false" customHeight="true" outlineLevel="0" collapsed="false">
      <c r="A3" s="129" t="s">
        <v>97</v>
      </c>
      <c r="B3" s="129" t="s">
        <v>104</v>
      </c>
      <c r="C3" s="129" t="s">
        <v>149</v>
      </c>
      <c r="D3" s="130" t="s">
        <v>150</v>
      </c>
      <c r="E3" s="130"/>
      <c r="F3" s="130"/>
      <c r="G3" s="129" t="s">
        <v>97</v>
      </c>
      <c r="H3" s="129" t="s">
        <v>97</v>
      </c>
      <c r="I3" s="133" t="s">
        <v>97</v>
      </c>
      <c r="J3" s="129" t="s">
        <v>97</v>
      </c>
    </row>
    <row r="4" customFormat="false" ht="15" hidden="false" customHeight="true" outlineLevel="0" collapsed="false">
      <c r="A4" s="182" t="n">
        <v>1</v>
      </c>
      <c r="B4" s="134" t="s">
        <v>104</v>
      </c>
      <c r="C4" s="134" t="s">
        <v>152</v>
      </c>
      <c r="D4" s="135" t="s">
        <v>153</v>
      </c>
      <c r="E4" s="135"/>
      <c r="F4" s="135"/>
      <c r="G4" s="135"/>
      <c r="H4" s="134" t="s">
        <v>154</v>
      </c>
      <c r="I4" s="137" t="n">
        <v>22.7</v>
      </c>
      <c r="J4" s="135"/>
      <c r="HV4" s="11" t="s">
        <v>149</v>
      </c>
      <c r="HW4" s="11" t="s">
        <v>159</v>
      </c>
      <c r="IR4" s="183" t="n">
        <f aca="false">83.6*0</f>
        <v>0</v>
      </c>
      <c r="IS4" s="183" t="n">
        <f aca="false">83.6*(1-0)</f>
        <v>83.6</v>
      </c>
    </row>
    <row r="5" customFormat="false" ht="24.05" hidden="false" customHeight="true" outlineLevel="0" collapsed="false">
      <c r="A5" s="182" t="n">
        <v>2</v>
      </c>
      <c r="B5" s="134" t="s">
        <v>104</v>
      </c>
      <c r="C5" s="134" t="s">
        <v>161</v>
      </c>
      <c r="D5" s="135" t="s">
        <v>162</v>
      </c>
      <c r="E5" s="135"/>
      <c r="F5" s="135"/>
      <c r="G5" s="135" t="s">
        <v>759</v>
      </c>
      <c r="H5" s="134" t="s">
        <v>163</v>
      </c>
      <c r="I5" s="137" t="n">
        <v>1</v>
      </c>
      <c r="J5" s="135"/>
      <c r="HV5" s="11" t="s">
        <v>149</v>
      </c>
      <c r="HW5" s="11" t="s">
        <v>159</v>
      </c>
      <c r="IR5" s="183" t="n">
        <f aca="false">626.01*0</f>
        <v>0</v>
      </c>
      <c r="IS5" s="183" t="n">
        <f aca="false">626.01*(1-0)</f>
        <v>626.01</v>
      </c>
    </row>
    <row r="6" customFormat="false" ht="24.05" hidden="false" customHeight="true" outlineLevel="0" collapsed="false">
      <c r="A6" s="182" t="n">
        <v>3</v>
      </c>
      <c r="B6" s="134" t="s">
        <v>104</v>
      </c>
      <c r="C6" s="134" t="s">
        <v>161</v>
      </c>
      <c r="D6" s="135" t="s">
        <v>165</v>
      </c>
      <c r="E6" s="135"/>
      <c r="F6" s="135"/>
      <c r="G6" s="135" t="s">
        <v>759</v>
      </c>
      <c r="H6" s="134" t="s">
        <v>163</v>
      </c>
      <c r="I6" s="137" t="n">
        <v>5</v>
      </c>
      <c r="J6" s="135"/>
      <c r="HV6" s="11" t="s">
        <v>149</v>
      </c>
      <c r="HW6" s="11" t="s">
        <v>159</v>
      </c>
      <c r="IR6" s="183" t="n">
        <f aca="false">626.01*0</f>
        <v>0</v>
      </c>
      <c r="IS6" s="183" t="n">
        <f aca="false">626.01*(1-0)</f>
        <v>626.01</v>
      </c>
    </row>
    <row r="7" customFormat="false" ht="15" hidden="false" customHeight="true" outlineLevel="0" collapsed="false">
      <c r="A7" s="182" t="n">
        <v>4</v>
      </c>
      <c r="B7" s="134" t="s">
        <v>104</v>
      </c>
      <c r="C7" s="134" t="s">
        <v>167</v>
      </c>
      <c r="D7" s="135" t="s">
        <v>168</v>
      </c>
      <c r="E7" s="135"/>
      <c r="F7" s="135"/>
      <c r="G7" s="135"/>
      <c r="H7" s="134" t="s">
        <v>169</v>
      </c>
      <c r="I7" s="137" t="n">
        <v>6</v>
      </c>
      <c r="J7" s="135"/>
      <c r="HV7" s="11" t="s">
        <v>149</v>
      </c>
      <c r="HW7" s="11" t="s">
        <v>159</v>
      </c>
      <c r="IR7" s="183" t="n">
        <f aca="false">39.4*0</f>
        <v>0</v>
      </c>
      <c r="IS7" s="183" t="n">
        <f aca="false">39.4*(1-0)</f>
        <v>39.4</v>
      </c>
    </row>
    <row r="8" customFormat="false" ht="15" hidden="false" customHeight="true" outlineLevel="0" collapsed="false">
      <c r="A8" s="182" t="n">
        <v>5</v>
      </c>
      <c r="B8" s="134" t="s">
        <v>104</v>
      </c>
      <c r="C8" s="134" t="s">
        <v>171</v>
      </c>
      <c r="D8" s="135" t="s">
        <v>172</v>
      </c>
      <c r="E8" s="135"/>
      <c r="F8" s="135"/>
      <c r="G8" s="135"/>
      <c r="H8" s="134" t="s">
        <v>169</v>
      </c>
      <c r="I8" s="137" t="n">
        <v>6</v>
      </c>
      <c r="J8" s="135"/>
      <c r="HV8" s="11" t="s">
        <v>149</v>
      </c>
      <c r="HW8" s="11" t="s">
        <v>159</v>
      </c>
      <c r="IR8" s="183" t="n">
        <f aca="false">300.49*0</f>
        <v>0</v>
      </c>
      <c r="IS8" s="183" t="n">
        <f aca="false">300.49*(1-0)</f>
        <v>300.49</v>
      </c>
    </row>
    <row r="9" customFormat="false" ht="15" hidden="false" customHeight="true" outlineLevel="0" collapsed="false">
      <c r="A9" s="182" t="n">
        <v>6</v>
      </c>
      <c r="B9" s="134" t="s">
        <v>104</v>
      </c>
      <c r="C9" s="134" t="s">
        <v>174</v>
      </c>
      <c r="D9" s="135" t="s">
        <v>175</v>
      </c>
      <c r="E9" s="135"/>
      <c r="F9" s="135"/>
      <c r="G9" s="135"/>
      <c r="H9" s="134" t="s">
        <v>169</v>
      </c>
      <c r="I9" s="137" t="n">
        <v>12</v>
      </c>
      <c r="J9" s="135"/>
      <c r="HV9" s="11" t="s">
        <v>149</v>
      </c>
      <c r="HW9" s="11" t="s">
        <v>159</v>
      </c>
      <c r="IR9" s="183" t="n">
        <f aca="false">911*0.12622393</f>
        <v>114.99000023</v>
      </c>
      <c r="IS9" s="183" t="n">
        <f aca="false">911*(1-0.12622393)</f>
        <v>796.00999977</v>
      </c>
    </row>
    <row r="10" customFormat="false" ht="15" hidden="false" customHeight="true" outlineLevel="0" collapsed="false">
      <c r="A10" s="184" t="n">
        <v>7</v>
      </c>
      <c r="B10" s="139" t="s">
        <v>104</v>
      </c>
      <c r="C10" s="139" t="s">
        <v>177</v>
      </c>
      <c r="D10" s="140" t="s">
        <v>178</v>
      </c>
      <c r="E10" s="140"/>
      <c r="F10" s="140"/>
      <c r="G10" s="135"/>
      <c r="H10" s="139" t="s">
        <v>179</v>
      </c>
      <c r="I10" s="142" t="n">
        <v>0.672</v>
      </c>
      <c r="J10" s="140"/>
      <c r="HV10" s="185" t="s">
        <v>149</v>
      </c>
      <c r="HW10" s="185" t="s">
        <v>180</v>
      </c>
      <c r="IR10" s="186" t="n">
        <f aca="false">10910*1</f>
        <v>10910</v>
      </c>
      <c r="IS10" s="186" t="n">
        <f aca="false">10910*(1-1)</f>
        <v>0</v>
      </c>
    </row>
    <row r="11" customFormat="false" ht="15" hidden="false" customHeight="true" outlineLevel="0" collapsed="false">
      <c r="A11" s="182" t="n">
        <v>8</v>
      </c>
      <c r="B11" s="134" t="s">
        <v>104</v>
      </c>
      <c r="C11" s="134" t="s">
        <v>182</v>
      </c>
      <c r="D11" s="135" t="s">
        <v>183</v>
      </c>
      <c r="E11" s="135"/>
      <c r="F11" s="135"/>
      <c r="G11" s="135"/>
      <c r="H11" s="134" t="s">
        <v>179</v>
      </c>
      <c r="I11" s="137" t="n">
        <v>0.611</v>
      </c>
      <c r="J11" s="135"/>
      <c r="HV11" s="11" t="s">
        <v>149</v>
      </c>
      <c r="HW11" s="11" t="s">
        <v>159</v>
      </c>
      <c r="IR11" s="183" t="n">
        <f aca="false">557*0</f>
        <v>0</v>
      </c>
      <c r="IS11" s="183" t="n">
        <f aca="false">557*(1-0)</f>
        <v>557</v>
      </c>
    </row>
    <row r="12" customFormat="false" ht="15" hidden="false" customHeight="true" outlineLevel="0" collapsed="false">
      <c r="A12" s="129" t="s">
        <v>97</v>
      </c>
      <c r="B12" s="129" t="s">
        <v>104</v>
      </c>
      <c r="C12" s="129" t="s">
        <v>184</v>
      </c>
      <c r="D12" s="130" t="s">
        <v>185</v>
      </c>
      <c r="E12" s="130"/>
      <c r="F12" s="130"/>
      <c r="G12" s="129" t="s">
        <v>97</v>
      </c>
      <c r="H12" s="129" t="s">
        <v>97</v>
      </c>
      <c r="I12" s="133" t="s">
        <v>97</v>
      </c>
      <c r="J12" s="129" t="s">
        <v>97</v>
      </c>
    </row>
    <row r="13" customFormat="false" ht="15" hidden="false" customHeight="true" outlineLevel="0" collapsed="false">
      <c r="A13" s="182" t="n">
        <v>9</v>
      </c>
      <c r="B13" s="134" t="s">
        <v>104</v>
      </c>
      <c r="C13" s="134" t="s">
        <v>187</v>
      </c>
      <c r="D13" s="135" t="s">
        <v>188</v>
      </c>
      <c r="E13" s="135"/>
      <c r="F13" s="135"/>
      <c r="G13" s="135"/>
      <c r="H13" s="134" t="s">
        <v>189</v>
      </c>
      <c r="I13" s="137" t="n">
        <v>0.681</v>
      </c>
      <c r="J13" s="135"/>
      <c r="HV13" s="11" t="s">
        <v>184</v>
      </c>
      <c r="HW13" s="11" t="s">
        <v>159</v>
      </c>
      <c r="IR13" s="183" t="n">
        <f aca="false">4890*0</f>
        <v>0</v>
      </c>
      <c r="IS13" s="183" t="n">
        <f aca="false">4890*(1-0)</f>
        <v>4890</v>
      </c>
    </row>
    <row r="14" customFormat="false" ht="24.05" hidden="false" customHeight="true" outlineLevel="0" collapsed="false">
      <c r="A14" s="182" t="n">
        <v>10</v>
      </c>
      <c r="B14" s="134" t="s">
        <v>104</v>
      </c>
      <c r="C14" s="134" t="s">
        <v>193</v>
      </c>
      <c r="D14" s="135" t="s">
        <v>194</v>
      </c>
      <c r="E14" s="135"/>
      <c r="F14" s="135"/>
      <c r="G14" s="135"/>
      <c r="H14" s="134" t="s">
        <v>189</v>
      </c>
      <c r="I14" s="137" t="n">
        <v>1.024</v>
      </c>
      <c r="J14" s="135"/>
      <c r="HV14" s="11" t="s">
        <v>184</v>
      </c>
      <c r="HW14" s="11" t="s">
        <v>159</v>
      </c>
      <c r="IR14" s="183" t="n">
        <f aca="false">8554.98*0</f>
        <v>0</v>
      </c>
      <c r="IS14" s="183" t="n">
        <f aca="false">8554.98*(1-0)</f>
        <v>8554.98</v>
      </c>
    </row>
    <row r="15" customFormat="false" ht="24.05" hidden="false" customHeight="true" outlineLevel="0" collapsed="false">
      <c r="A15" s="182" t="n">
        <v>11</v>
      </c>
      <c r="B15" s="134" t="s">
        <v>104</v>
      </c>
      <c r="C15" s="134" t="s">
        <v>195</v>
      </c>
      <c r="D15" s="135" t="s">
        <v>196</v>
      </c>
      <c r="E15" s="135"/>
      <c r="F15" s="135"/>
      <c r="G15" s="135"/>
      <c r="H15" s="134" t="s">
        <v>189</v>
      </c>
      <c r="I15" s="137" t="n">
        <v>0.51</v>
      </c>
      <c r="J15" s="135"/>
      <c r="HV15" s="11" t="s">
        <v>184</v>
      </c>
      <c r="HW15" s="11" t="s">
        <v>159</v>
      </c>
      <c r="IR15" s="183" t="n">
        <f aca="false">1373*0.027159505</f>
        <v>37.290000365</v>
      </c>
      <c r="IS15" s="183" t="n">
        <f aca="false">1373*(1-0.027159505)</f>
        <v>1335.709999635</v>
      </c>
    </row>
    <row r="16" customFormat="false" ht="15" hidden="false" customHeight="true" outlineLevel="0" collapsed="false">
      <c r="A16" s="129" t="s">
        <v>97</v>
      </c>
      <c r="B16" s="129" t="s">
        <v>104</v>
      </c>
      <c r="C16" s="129" t="s">
        <v>197</v>
      </c>
      <c r="D16" s="130" t="s">
        <v>198</v>
      </c>
      <c r="E16" s="130"/>
      <c r="F16" s="130"/>
      <c r="G16" s="129" t="s">
        <v>97</v>
      </c>
      <c r="H16" s="129" t="s">
        <v>97</v>
      </c>
      <c r="I16" s="133" t="s">
        <v>97</v>
      </c>
      <c r="J16" s="129" t="s">
        <v>97</v>
      </c>
    </row>
    <row r="17" customFormat="false" ht="46.6" hidden="false" customHeight="true" outlineLevel="0" collapsed="false">
      <c r="A17" s="182" t="n">
        <v>12</v>
      </c>
      <c r="B17" s="134" t="s">
        <v>104</v>
      </c>
      <c r="C17" s="134" t="s">
        <v>200</v>
      </c>
      <c r="D17" s="135" t="s">
        <v>201</v>
      </c>
      <c r="E17" s="135"/>
      <c r="F17" s="135"/>
      <c r="G17" s="135"/>
      <c r="H17" s="134" t="s">
        <v>202</v>
      </c>
      <c r="I17" s="137" t="n">
        <v>210.3</v>
      </c>
      <c r="J17" s="135" t="s">
        <v>760</v>
      </c>
      <c r="HV17" s="11" t="s">
        <v>197</v>
      </c>
      <c r="HW17" s="11" t="s">
        <v>159</v>
      </c>
      <c r="IR17" s="183" t="n">
        <f aca="false">133.5*0</f>
        <v>0</v>
      </c>
      <c r="IS17" s="183" t="n">
        <f aca="false">133.5*(1-0)</f>
        <v>133.5</v>
      </c>
    </row>
    <row r="18" customFormat="false" ht="15" hidden="false" customHeight="true" outlineLevel="0" collapsed="false">
      <c r="A18" s="129" t="s">
        <v>97</v>
      </c>
      <c r="B18" s="129" t="s">
        <v>104</v>
      </c>
      <c r="C18" s="129" t="s">
        <v>204</v>
      </c>
      <c r="D18" s="130" t="s">
        <v>205</v>
      </c>
      <c r="E18" s="130"/>
      <c r="F18" s="130"/>
      <c r="G18" s="129" t="s">
        <v>97</v>
      </c>
      <c r="H18" s="129" t="s">
        <v>97</v>
      </c>
      <c r="I18" s="133" t="s">
        <v>97</v>
      </c>
      <c r="J18" s="129" t="s">
        <v>97</v>
      </c>
    </row>
    <row r="19" customFormat="false" ht="15" hidden="false" customHeight="true" outlineLevel="0" collapsed="false">
      <c r="A19" s="182" t="n">
        <v>13</v>
      </c>
      <c r="B19" s="134" t="s">
        <v>104</v>
      </c>
      <c r="C19" s="134" t="s">
        <v>207</v>
      </c>
      <c r="D19" s="135" t="s">
        <v>208</v>
      </c>
      <c r="E19" s="135"/>
      <c r="F19" s="135"/>
      <c r="G19" s="135"/>
      <c r="H19" s="134" t="s">
        <v>179</v>
      </c>
      <c r="I19" s="137" t="n">
        <v>8.89</v>
      </c>
      <c r="J19" s="135"/>
      <c r="HV19" s="11" t="s">
        <v>204</v>
      </c>
      <c r="HW19" s="11" t="s">
        <v>159</v>
      </c>
      <c r="IR19" s="183" t="n">
        <f aca="false">490*0</f>
        <v>0</v>
      </c>
      <c r="IS19" s="183" t="n">
        <f aca="false">490*(1-0)</f>
        <v>490</v>
      </c>
    </row>
    <row r="20" customFormat="false" ht="15" hidden="false" customHeight="true" outlineLevel="0" collapsed="false">
      <c r="A20" s="182" t="n">
        <v>14</v>
      </c>
      <c r="B20" s="134" t="s">
        <v>104</v>
      </c>
      <c r="C20" s="134" t="s">
        <v>211</v>
      </c>
      <c r="D20" s="135" t="s">
        <v>212</v>
      </c>
      <c r="E20" s="135"/>
      <c r="F20" s="135"/>
      <c r="G20" s="135"/>
      <c r="H20" s="134" t="s">
        <v>179</v>
      </c>
      <c r="I20" s="137" t="n">
        <v>17.78</v>
      </c>
      <c r="J20" s="135"/>
      <c r="HV20" s="11" t="s">
        <v>204</v>
      </c>
      <c r="HW20" s="11" t="s">
        <v>159</v>
      </c>
      <c r="IR20" s="183" t="n">
        <f aca="false">54.7*0</f>
        <v>0</v>
      </c>
      <c r="IS20" s="183" t="n">
        <f aca="false">54.7*(1-0)</f>
        <v>54.7</v>
      </c>
    </row>
    <row r="21" customFormat="false" ht="15" hidden="false" customHeight="true" outlineLevel="0" collapsed="false">
      <c r="A21" s="182" t="n">
        <v>15</v>
      </c>
      <c r="B21" s="134" t="s">
        <v>104</v>
      </c>
      <c r="C21" s="134" t="s">
        <v>214</v>
      </c>
      <c r="D21" s="135" t="s">
        <v>215</v>
      </c>
      <c r="E21" s="135"/>
      <c r="F21" s="135"/>
      <c r="G21" s="135"/>
      <c r="H21" s="134" t="s">
        <v>179</v>
      </c>
      <c r="I21" s="137" t="n">
        <v>10.331</v>
      </c>
      <c r="J21" s="135"/>
      <c r="HV21" s="11" t="s">
        <v>204</v>
      </c>
      <c r="HW21" s="11" t="s">
        <v>159</v>
      </c>
      <c r="IR21" s="183" t="n">
        <f aca="false">397*0</f>
        <v>0</v>
      </c>
      <c r="IS21" s="183" t="n">
        <f aca="false">397*(1-0)</f>
        <v>397</v>
      </c>
    </row>
    <row r="22" customFormat="false" ht="15" hidden="false" customHeight="true" outlineLevel="0" collapsed="false">
      <c r="A22" s="182" t="n">
        <v>16</v>
      </c>
      <c r="B22" s="134" t="s">
        <v>104</v>
      </c>
      <c r="C22" s="134" t="s">
        <v>217</v>
      </c>
      <c r="D22" s="135" t="s">
        <v>218</v>
      </c>
      <c r="E22" s="135"/>
      <c r="F22" s="135"/>
      <c r="G22" s="135"/>
      <c r="H22" s="134" t="s">
        <v>179</v>
      </c>
      <c r="I22" s="137" t="n">
        <v>10.331</v>
      </c>
      <c r="J22" s="135"/>
      <c r="HV22" s="11" t="s">
        <v>204</v>
      </c>
      <c r="HW22" s="11" t="s">
        <v>159</v>
      </c>
      <c r="IR22" s="183" t="n">
        <f aca="false">336.5*0</f>
        <v>0</v>
      </c>
      <c r="IS22" s="183" t="n">
        <f aca="false">336.5*(1-0)</f>
        <v>336.5</v>
      </c>
    </row>
    <row r="23" customFormat="false" ht="15" hidden="false" customHeight="true" outlineLevel="0" collapsed="false">
      <c r="A23" s="182" t="n">
        <v>17</v>
      </c>
      <c r="B23" s="134" t="s">
        <v>104</v>
      </c>
      <c r="C23" s="134" t="s">
        <v>220</v>
      </c>
      <c r="D23" s="135" t="s">
        <v>221</v>
      </c>
      <c r="E23" s="135"/>
      <c r="F23" s="135"/>
      <c r="G23" s="135"/>
      <c r="H23" s="134" t="s">
        <v>179</v>
      </c>
      <c r="I23" s="137" t="n">
        <v>154.965</v>
      </c>
      <c r="J23" s="135"/>
      <c r="HV23" s="11" t="s">
        <v>204</v>
      </c>
      <c r="HW23" s="11" t="s">
        <v>159</v>
      </c>
      <c r="IR23" s="183" t="n">
        <f aca="false">28.2*0</f>
        <v>0</v>
      </c>
      <c r="IS23" s="183" t="n">
        <f aca="false">28.2*(1-0)</f>
        <v>28.2</v>
      </c>
    </row>
    <row r="24" customFormat="false" ht="15" hidden="false" customHeight="true" outlineLevel="0" collapsed="false">
      <c r="A24" s="182" t="n">
        <v>18</v>
      </c>
      <c r="B24" s="134" t="s">
        <v>104</v>
      </c>
      <c r="C24" s="134" t="s">
        <v>223</v>
      </c>
      <c r="D24" s="135" t="s">
        <v>224</v>
      </c>
      <c r="E24" s="135"/>
      <c r="F24" s="135"/>
      <c r="G24" s="135"/>
      <c r="H24" s="134" t="s">
        <v>179</v>
      </c>
      <c r="I24" s="137" t="n">
        <v>0.8</v>
      </c>
      <c r="J24" s="135"/>
      <c r="HV24" s="11" t="s">
        <v>204</v>
      </c>
      <c r="HW24" s="11" t="s">
        <v>159</v>
      </c>
      <c r="IR24" s="183" t="n">
        <f aca="false">1873.01*0</f>
        <v>0</v>
      </c>
      <c r="IS24" s="183" t="n">
        <f aca="false">1873.01*(1-0)</f>
        <v>1873.01</v>
      </c>
    </row>
    <row r="25" customFormat="false" ht="24.05" hidden="false" customHeight="true" outlineLevel="0" collapsed="false">
      <c r="A25" s="182" t="n">
        <v>19</v>
      </c>
      <c r="B25" s="134" t="s">
        <v>104</v>
      </c>
      <c r="C25" s="134" t="s">
        <v>226</v>
      </c>
      <c r="D25" s="135" t="s">
        <v>227</v>
      </c>
      <c r="E25" s="135"/>
      <c r="F25" s="135"/>
      <c r="G25" s="135"/>
      <c r="H25" s="134" t="s">
        <v>179</v>
      </c>
      <c r="I25" s="137" t="n">
        <v>0.672</v>
      </c>
      <c r="J25" s="135"/>
      <c r="HV25" s="11" t="s">
        <v>204</v>
      </c>
      <c r="HW25" s="11" t="s">
        <v>159</v>
      </c>
      <c r="IR25" s="183" t="n">
        <f aca="false">296*0</f>
        <v>0</v>
      </c>
      <c r="IS25" s="183" t="n">
        <f aca="false">296*(1-0)</f>
        <v>296</v>
      </c>
    </row>
    <row r="26" customFormat="false" ht="24.05" hidden="false" customHeight="true" outlineLevel="0" collapsed="false">
      <c r="A26" s="182" t="n">
        <v>20</v>
      </c>
      <c r="B26" s="134" t="s">
        <v>104</v>
      </c>
      <c r="C26" s="134" t="s">
        <v>229</v>
      </c>
      <c r="D26" s="135" t="s">
        <v>230</v>
      </c>
      <c r="E26" s="135"/>
      <c r="F26" s="135"/>
      <c r="G26" s="135"/>
      <c r="H26" s="134" t="s">
        <v>179</v>
      </c>
      <c r="I26" s="137" t="n">
        <v>7.988</v>
      </c>
      <c r="J26" s="135"/>
      <c r="HV26" s="11" t="s">
        <v>204</v>
      </c>
      <c r="HW26" s="11" t="s">
        <v>159</v>
      </c>
      <c r="IR26" s="183" t="n">
        <f aca="false">453.5*0</f>
        <v>0</v>
      </c>
      <c r="IS26" s="183" t="n">
        <f aca="false">453.5*(1-0)</f>
        <v>453.5</v>
      </c>
    </row>
    <row r="27" customFormat="false" ht="15" hidden="false" customHeight="true" outlineLevel="0" collapsed="false">
      <c r="A27" s="182" t="n">
        <v>21</v>
      </c>
      <c r="B27" s="134" t="s">
        <v>104</v>
      </c>
      <c r="C27" s="134" t="s">
        <v>232</v>
      </c>
      <c r="D27" s="135" t="s">
        <v>233</v>
      </c>
      <c r="E27" s="135"/>
      <c r="F27" s="135"/>
      <c r="G27" s="135"/>
      <c r="H27" s="134" t="s">
        <v>179</v>
      </c>
      <c r="I27" s="137" t="n">
        <v>0.87</v>
      </c>
      <c r="J27" s="135"/>
      <c r="HV27" s="11" t="s">
        <v>204</v>
      </c>
      <c r="HW27" s="11" t="s">
        <v>159</v>
      </c>
      <c r="IR27" s="183" t="n">
        <f aca="false">641*0</f>
        <v>0</v>
      </c>
      <c r="IS27" s="183" t="n">
        <f aca="false">641*(1-0)</f>
        <v>641</v>
      </c>
    </row>
    <row r="28" customFormat="false" ht="15" hidden="false" customHeight="true" outlineLevel="0" collapsed="false">
      <c r="A28" s="129" t="s">
        <v>97</v>
      </c>
      <c r="B28" s="129" t="s">
        <v>107</v>
      </c>
      <c r="C28" s="129"/>
      <c r="D28" s="130" t="s">
        <v>108</v>
      </c>
      <c r="E28" s="130"/>
      <c r="F28" s="130"/>
      <c r="G28" s="129" t="s">
        <v>97</v>
      </c>
      <c r="H28" s="129" t="s">
        <v>97</v>
      </c>
      <c r="I28" s="133" t="s">
        <v>97</v>
      </c>
      <c r="J28" s="129" t="s">
        <v>97</v>
      </c>
    </row>
    <row r="29" customFormat="false" ht="15" hidden="false" customHeight="true" outlineLevel="0" collapsed="false">
      <c r="A29" s="129" t="s">
        <v>97</v>
      </c>
      <c r="B29" s="129" t="s">
        <v>107</v>
      </c>
      <c r="C29" s="129" t="s">
        <v>206</v>
      </c>
      <c r="D29" s="130" t="s">
        <v>234</v>
      </c>
      <c r="E29" s="130"/>
      <c r="F29" s="130"/>
      <c r="G29" s="129" t="s">
        <v>97</v>
      </c>
      <c r="H29" s="129" t="s">
        <v>97</v>
      </c>
      <c r="I29" s="133" t="s">
        <v>97</v>
      </c>
      <c r="J29" s="129" t="s">
        <v>97</v>
      </c>
    </row>
    <row r="30" customFormat="false" ht="15" hidden="false" customHeight="true" outlineLevel="0" collapsed="false">
      <c r="A30" s="182" t="n">
        <v>22</v>
      </c>
      <c r="B30" s="134" t="s">
        <v>107</v>
      </c>
      <c r="C30" s="134" t="s">
        <v>236</v>
      </c>
      <c r="D30" s="135" t="s">
        <v>237</v>
      </c>
      <c r="E30" s="135"/>
      <c r="F30" s="135"/>
      <c r="G30" s="135"/>
      <c r="H30" s="134" t="s">
        <v>189</v>
      </c>
      <c r="I30" s="137" t="n">
        <v>2.01</v>
      </c>
      <c r="J30" s="135"/>
      <c r="HV30" s="11" t="s">
        <v>206</v>
      </c>
      <c r="HW30" s="11" t="s">
        <v>159</v>
      </c>
      <c r="IR30" s="183" t="n">
        <f aca="false">170.5*0</f>
        <v>0</v>
      </c>
      <c r="IS30" s="183" t="n">
        <f aca="false">170.5*(1-0)</f>
        <v>170.5</v>
      </c>
    </row>
    <row r="31" customFormat="false" ht="24.05" hidden="false" customHeight="true" outlineLevel="0" collapsed="false">
      <c r="A31" s="182" t="n">
        <v>23</v>
      </c>
      <c r="B31" s="134" t="s">
        <v>107</v>
      </c>
      <c r="C31" s="134" t="s">
        <v>242</v>
      </c>
      <c r="D31" s="135" t="s">
        <v>243</v>
      </c>
      <c r="E31" s="135"/>
      <c r="F31" s="135"/>
      <c r="G31" s="135"/>
      <c r="H31" s="134" t="s">
        <v>189</v>
      </c>
      <c r="I31" s="137" t="n">
        <v>2.193</v>
      </c>
      <c r="J31" s="135"/>
      <c r="HV31" s="11" t="s">
        <v>206</v>
      </c>
      <c r="HW31" s="11" t="s">
        <v>159</v>
      </c>
      <c r="IR31" s="183" t="n">
        <f aca="false">601*0</f>
        <v>0</v>
      </c>
      <c r="IS31" s="183" t="n">
        <f aca="false">601*(1-0)</f>
        <v>601</v>
      </c>
    </row>
    <row r="32" customFormat="false" ht="24.05" hidden="false" customHeight="true" outlineLevel="0" collapsed="false">
      <c r="A32" s="182" t="n">
        <v>24</v>
      </c>
      <c r="B32" s="134" t="s">
        <v>107</v>
      </c>
      <c r="C32" s="134" t="s">
        <v>245</v>
      </c>
      <c r="D32" s="135" t="s">
        <v>246</v>
      </c>
      <c r="E32" s="135"/>
      <c r="F32" s="135"/>
      <c r="G32" s="135"/>
      <c r="H32" s="134" t="s">
        <v>189</v>
      </c>
      <c r="I32" s="137" t="n">
        <v>5.184</v>
      </c>
      <c r="J32" s="135"/>
      <c r="HV32" s="11" t="s">
        <v>206</v>
      </c>
      <c r="HW32" s="11" t="s">
        <v>159</v>
      </c>
      <c r="IR32" s="183" t="n">
        <f aca="false">1847*0</f>
        <v>0</v>
      </c>
      <c r="IS32" s="183" t="n">
        <f aca="false">1847*(1-0)</f>
        <v>1847</v>
      </c>
    </row>
    <row r="33" customFormat="false" ht="15" hidden="false" customHeight="true" outlineLevel="0" collapsed="false">
      <c r="A33" s="182" t="n">
        <v>25</v>
      </c>
      <c r="B33" s="134" t="s">
        <v>107</v>
      </c>
      <c r="C33" s="134" t="s">
        <v>248</v>
      </c>
      <c r="D33" s="135" t="s">
        <v>249</v>
      </c>
      <c r="E33" s="135"/>
      <c r="F33" s="135"/>
      <c r="G33" s="135"/>
      <c r="H33" s="134" t="s">
        <v>189</v>
      </c>
      <c r="I33" s="137" t="n">
        <v>3.906</v>
      </c>
      <c r="J33" s="135"/>
      <c r="HV33" s="11" t="s">
        <v>206</v>
      </c>
      <c r="HW33" s="11" t="s">
        <v>159</v>
      </c>
      <c r="IR33" s="183" t="n">
        <f aca="false">1220.99*0</f>
        <v>0</v>
      </c>
      <c r="IS33" s="183" t="n">
        <f aca="false">1220.99*(1-0)</f>
        <v>1220.99</v>
      </c>
    </row>
    <row r="34" customFormat="false" ht="24.05" hidden="false" customHeight="true" outlineLevel="0" collapsed="false">
      <c r="A34" s="182" t="n">
        <v>26</v>
      </c>
      <c r="B34" s="134" t="s">
        <v>107</v>
      </c>
      <c r="C34" s="134" t="s">
        <v>251</v>
      </c>
      <c r="D34" s="135" t="s">
        <v>252</v>
      </c>
      <c r="E34" s="135"/>
      <c r="F34" s="135"/>
      <c r="G34" s="135"/>
      <c r="H34" s="134" t="s">
        <v>189</v>
      </c>
      <c r="I34" s="137" t="n">
        <v>1.96</v>
      </c>
      <c r="J34" s="135"/>
      <c r="HV34" s="11" t="s">
        <v>206</v>
      </c>
      <c r="HW34" s="11" t="s">
        <v>159</v>
      </c>
      <c r="IR34" s="183" t="n">
        <f aca="false">62.7*0</f>
        <v>0</v>
      </c>
      <c r="IS34" s="183" t="n">
        <f aca="false">62.7*(1-0)</f>
        <v>62.7</v>
      </c>
    </row>
    <row r="35" customFormat="false" ht="15" hidden="false" customHeight="true" outlineLevel="0" collapsed="false">
      <c r="A35" s="182" t="n">
        <v>27</v>
      </c>
      <c r="B35" s="134" t="s">
        <v>107</v>
      </c>
      <c r="C35" s="134" t="s">
        <v>254</v>
      </c>
      <c r="D35" s="135" t="s">
        <v>255</v>
      </c>
      <c r="E35" s="135"/>
      <c r="F35" s="135"/>
      <c r="G35" s="135"/>
      <c r="H35" s="134" t="s">
        <v>189</v>
      </c>
      <c r="I35" s="137" t="n">
        <v>1.96</v>
      </c>
      <c r="J35" s="135"/>
      <c r="HV35" s="11" t="s">
        <v>206</v>
      </c>
      <c r="HW35" s="11" t="s">
        <v>159</v>
      </c>
      <c r="IR35" s="183" t="n">
        <f aca="false">361.51*0</f>
        <v>0</v>
      </c>
      <c r="IS35" s="183" t="n">
        <f aca="false">361.51*(1-0)</f>
        <v>361.51</v>
      </c>
    </row>
    <row r="36" customFormat="false" ht="24.05" hidden="false" customHeight="true" outlineLevel="0" collapsed="false">
      <c r="A36" s="182" t="n">
        <v>28</v>
      </c>
      <c r="B36" s="134" t="s">
        <v>107</v>
      </c>
      <c r="C36" s="134" t="s">
        <v>257</v>
      </c>
      <c r="D36" s="135" t="s">
        <v>258</v>
      </c>
      <c r="E36" s="135"/>
      <c r="F36" s="135"/>
      <c r="G36" s="135"/>
      <c r="H36" s="134" t="s">
        <v>189</v>
      </c>
      <c r="I36" s="137" t="n">
        <v>3.92</v>
      </c>
      <c r="J36" s="135"/>
      <c r="HV36" s="11" t="s">
        <v>206</v>
      </c>
      <c r="HW36" s="11" t="s">
        <v>159</v>
      </c>
      <c r="IR36" s="183" t="n">
        <f aca="false">320*0</f>
        <v>0</v>
      </c>
      <c r="IS36" s="183" t="n">
        <f aca="false">320*(1-0)</f>
        <v>320</v>
      </c>
    </row>
    <row r="37" customFormat="false" ht="15" hidden="false" customHeight="true" outlineLevel="0" collapsed="false">
      <c r="A37" s="182" t="n">
        <v>29</v>
      </c>
      <c r="B37" s="134" t="s">
        <v>107</v>
      </c>
      <c r="C37" s="134" t="s">
        <v>260</v>
      </c>
      <c r="D37" s="135" t="s">
        <v>261</v>
      </c>
      <c r="E37" s="135"/>
      <c r="F37" s="135"/>
      <c r="G37" s="135"/>
      <c r="H37" s="134" t="s">
        <v>189</v>
      </c>
      <c r="I37" s="137" t="n">
        <v>13.293</v>
      </c>
      <c r="J37" s="135"/>
      <c r="HV37" s="11" t="s">
        <v>206</v>
      </c>
      <c r="HW37" s="11" t="s">
        <v>159</v>
      </c>
      <c r="IR37" s="183" t="n">
        <f aca="false">32.7*0</f>
        <v>0</v>
      </c>
      <c r="IS37" s="183" t="n">
        <f aca="false">32.7*(1-0)</f>
        <v>32.7</v>
      </c>
    </row>
    <row r="38" customFormat="false" ht="24.05" hidden="false" customHeight="true" outlineLevel="0" collapsed="false">
      <c r="A38" s="182" t="n">
        <v>30</v>
      </c>
      <c r="B38" s="134" t="s">
        <v>107</v>
      </c>
      <c r="C38" s="134" t="s">
        <v>263</v>
      </c>
      <c r="D38" s="135" t="s">
        <v>264</v>
      </c>
      <c r="E38" s="135"/>
      <c r="F38" s="135"/>
      <c r="G38" s="135"/>
      <c r="H38" s="134" t="s">
        <v>189</v>
      </c>
      <c r="I38" s="137" t="n">
        <v>0.98</v>
      </c>
      <c r="J38" s="135"/>
      <c r="HV38" s="11" t="s">
        <v>206</v>
      </c>
      <c r="HW38" s="11" t="s">
        <v>159</v>
      </c>
      <c r="IR38" s="183" t="n">
        <f aca="false">130*0</f>
        <v>0</v>
      </c>
      <c r="IS38" s="183" t="n">
        <f aca="false">130*(1-0)</f>
        <v>130</v>
      </c>
    </row>
    <row r="39" customFormat="false" ht="15" hidden="false" customHeight="true" outlineLevel="0" collapsed="false">
      <c r="A39" s="182" t="n">
        <v>31</v>
      </c>
      <c r="B39" s="134" t="s">
        <v>107</v>
      </c>
      <c r="C39" s="134" t="s">
        <v>266</v>
      </c>
      <c r="D39" s="135" t="s">
        <v>267</v>
      </c>
      <c r="E39" s="135"/>
      <c r="F39" s="135"/>
      <c r="G39" s="135"/>
      <c r="H39" s="134" t="s">
        <v>189</v>
      </c>
      <c r="I39" s="137" t="n">
        <v>14.7</v>
      </c>
      <c r="J39" s="135"/>
      <c r="HV39" s="11" t="s">
        <v>206</v>
      </c>
      <c r="HW39" s="11" t="s">
        <v>159</v>
      </c>
      <c r="IR39" s="183" t="n">
        <f aca="false">25.8*0</f>
        <v>0</v>
      </c>
      <c r="IS39" s="183" t="n">
        <f aca="false">25.8*(1-0)</f>
        <v>25.8</v>
      </c>
    </row>
    <row r="40" customFormat="false" ht="24.05" hidden="false" customHeight="true" outlineLevel="0" collapsed="false">
      <c r="A40" s="182" t="n">
        <v>32</v>
      </c>
      <c r="B40" s="134" t="s">
        <v>107</v>
      </c>
      <c r="C40" s="134" t="s">
        <v>263</v>
      </c>
      <c r="D40" s="135" t="s">
        <v>269</v>
      </c>
      <c r="E40" s="135"/>
      <c r="F40" s="135"/>
      <c r="G40" s="135"/>
      <c r="H40" s="134" t="s">
        <v>189</v>
      </c>
      <c r="I40" s="137" t="n">
        <v>12.313</v>
      </c>
      <c r="J40" s="135"/>
      <c r="HV40" s="11" t="s">
        <v>206</v>
      </c>
      <c r="HW40" s="11" t="s">
        <v>159</v>
      </c>
      <c r="IR40" s="183" t="n">
        <f aca="false">130*0</f>
        <v>0</v>
      </c>
      <c r="IS40" s="183" t="n">
        <f aca="false">130*(1-0)</f>
        <v>130</v>
      </c>
    </row>
    <row r="41" customFormat="false" ht="15" hidden="false" customHeight="true" outlineLevel="0" collapsed="false">
      <c r="A41" s="182" t="n">
        <v>33</v>
      </c>
      <c r="B41" s="134" t="s">
        <v>107</v>
      </c>
      <c r="C41" s="134" t="s">
        <v>266</v>
      </c>
      <c r="D41" s="135" t="s">
        <v>267</v>
      </c>
      <c r="E41" s="135"/>
      <c r="F41" s="135"/>
      <c r="G41" s="135"/>
      <c r="H41" s="134" t="s">
        <v>189</v>
      </c>
      <c r="I41" s="137" t="n">
        <v>184.695</v>
      </c>
      <c r="J41" s="135"/>
      <c r="HV41" s="11" t="s">
        <v>206</v>
      </c>
      <c r="HW41" s="11" t="s">
        <v>159</v>
      </c>
      <c r="IR41" s="183" t="n">
        <f aca="false">25.8*0</f>
        <v>0</v>
      </c>
      <c r="IS41" s="183" t="n">
        <f aca="false">25.8*(1-0)</f>
        <v>25.8</v>
      </c>
    </row>
    <row r="42" customFormat="false" ht="24.05" hidden="false" customHeight="true" outlineLevel="0" collapsed="false">
      <c r="A42" s="182" t="n">
        <v>34</v>
      </c>
      <c r="B42" s="134" t="s">
        <v>107</v>
      </c>
      <c r="C42" s="134" t="s">
        <v>272</v>
      </c>
      <c r="D42" s="135" t="s">
        <v>273</v>
      </c>
      <c r="E42" s="135"/>
      <c r="F42" s="135"/>
      <c r="G42" s="135"/>
      <c r="H42" s="134" t="s">
        <v>189</v>
      </c>
      <c r="I42" s="137" t="n">
        <v>12.313</v>
      </c>
      <c r="J42" s="135"/>
      <c r="HV42" s="11" t="s">
        <v>206</v>
      </c>
      <c r="HW42" s="11" t="s">
        <v>159</v>
      </c>
      <c r="IR42" s="183" t="n">
        <f aca="false">604*0</f>
        <v>0</v>
      </c>
      <c r="IS42" s="183" t="n">
        <f aca="false">604*(1-0)</f>
        <v>604</v>
      </c>
    </row>
    <row r="43" customFormat="false" ht="15" hidden="false" customHeight="true" outlineLevel="0" collapsed="false">
      <c r="A43" s="129" t="s">
        <v>97</v>
      </c>
      <c r="B43" s="129" t="s">
        <v>107</v>
      </c>
      <c r="C43" s="129" t="s">
        <v>274</v>
      </c>
      <c r="D43" s="130" t="s">
        <v>275</v>
      </c>
      <c r="E43" s="130"/>
      <c r="F43" s="130"/>
      <c r="G43" s="129" t="s">
        <v>97</v>
      </c>
      <c r="H43" s="129" t="s">
        <v>97</v>
      </c>
      <c r="I43" s="133" t="s">
        <v>97</v>
      </c>
      <c r="J43" s="129" t="s">
        <v>97</v>
      </c>
    </row>
    <row r="44" customFormat="false" ht="15" hidden="false" customHeight="true" outlineLevel="0" collapsed="false">
      <c r="A44" s="182" t="n">
        <v>35</v>
      </c>
      <c r="B44" s="134" t="s">
        <v>107</v>
      </c>
      <c r="C44" s="134" t="s">
        <v>277</v>
      </c>
      <c r="D44" s="135" t="s">
        <v>278</v>
      </c>
      <c r="E44" s="135"/>
      <c r="F44" s="135"/>
      <c r="G44" s="135"/>
      <c r="H44" s="134" t="s">
        <v>169</v>
      </c>
      <c r="I44" s="137" t="n">
        <v>6.7</v>
      </c>
      <c r="J44" s="135"/>
      <c r="HV44" s="11" t="s">
        <v>274</v>
      </c>
      <c r="HW44" s="11" t="s">
        <v>159</v>
      </c>
      <c r="IR44" s="183" t="n">
        <f aca="false">18.19*0</f>
        <v>0</v>
      </c>
      <c r="IS44" s="183" t="n">
        <f aca="false">18.19*(1-0)</f>
        <v>18.19</v>
      </c>
    </row>
    <row r="45" customFormat="false" ht="15" hidden="false" customHeight="true" outlineLevel="0" collapsed="false">
      <c r="A45" s="182" t="n">
        <v>36</v>
      </c>
      <c r="B45" s="134" t="s">
        <v>107</v>
      </c>
      <c r="C45" s="134" t="s">
        <v>282</v>
      </c>
      <c r="D45" s="135" t="s">
        <v>283</v>
      </c>
      <c r="E45" s="135"/>
      <c r="F45" s="135"/>
      <c r="G45" s="135"/>
      <c r="H45" s="134" t="s">
        <v>169</v>
      </c>
      <c r="I45" s="137" t="n">
        <v>6.7</v>
      </c>
      <c r="J45" s="135"/>
      <c r="HV45" s="11" t="s">
        <v>274</v>
      </c>
      <c r="HW45" s="11" t="s">
        <v>159</v>
      </c>
      <c r="IR45" s="183" t="n">
        <f aca="false">382.99*0.156479281</f>
        <v>59.92999983019</v>
      </c>
      <c r="IS45" s="183" t="n">
        <f aca="false">382.99*(1-0.156479281)</f>
        <v>323.06000016981</v>
      </c>
    </row>
    <row r="46" customFormat="false" ht="24.05" hidden="false" customHeight="true" outlineLevel="0" collapsed="false">
      <c r="A46" s="184" t="n">
        <v>37</v>
      </c>
      <c r="B46" s="139" t="s">
        <v>107</v>
      </c>
      <c r="C46" s="139" t="s">
        <v>285</v>
      </c>
      <c r="D46" s="140" t="s">
        <v>286</v>
      </c>
      <c r="E46" s="140"/>
      <c r="F46" s="140"/>
      <c r="G46" s="135"/>
      <c r="H46" s="139" t="s">
        <v>169</v>
      </c>
      <c r="I46" s="142" t="n">
        <v>6.767</v>
      </c>
      <c r="J46" s="140"/>
      <c r="HV46" s="185" t="s">
        <v>274</v>
      </c>
      <c r="HW46" s="185" t="s">
        <v>180</v>
      </c>
      <c r="IR46" s="186" t="n">
        <f aca="false">406.5*1</f>
        <v>406.5</v>
      </c>
      <c r="IS46" s="186" t="n">
        <f aca="false">406.5*(1-1)</f>
        <v>0</v>
      </c>
    </row>
    <row r="47" customFormat="false" ht="24.05" hidden="false" customHeight="true" outlineLevel="0" collapsed="false">
      <c r="A47" s="182" t="n">
        <v>38</v>
      </c>
      <c r="B47" s="134" t="s">
        <v>107</v>
      </c>
      <c r="C47" s="134" t="s">
        <v>288</v>
      </c>
      <c r="D47" s="135" t="s">
        <v>289</v>
      </c>
      <c r="E47" s="135"/>
      <c r="F47" s="135"/>
      <c r="G47" s="135" t="s">
        <v>761</v>
      </c>
      <c r="H47" s="134" t="s">
        <v>169</v>
      </c>
      <c r="I47" s="137" t="n">
        <v>6.7</v>
      </c>
      <c r="J47" s="135"/>
      <c r="HV47" s="11" t="s">
        <v>274</v>
      </c>
      <c r="HW47" s="11" t="s">
        <v>159</v>
      </c>
      <c r="IR47" s="183" t="n">
        <f aca="false">250.99*0.832941551</f>
        <v>209.05999988549</v>
      </c>
      <c r="IS47" s="183" t="n">
        <f aca="false">250.99*(1-0.832941551)</f>
        <v>41.93000011451</v>
      </c>
    </row>
    <row r="48" customFormat="false" ht="15" hidden="false" customHeight="true" outlineLevel="0" collapsed="false">
      <c r="A48" s="182" t="n">
        <v>39</v>
      </c>
      <c r="B48" s="134" t="s">
        <v>107</v>
      </c>
      <c r="C48" s="134" t="s">
        <v>291</v>
      </c>
      <c r="D48" s="135" t="s">
        <v>292</v>
      </c>
      <c r="E48" s="135"/>
      <c r="F48" s="135"/>
      <c r="G48" s="135"/>
      <c r="H48" s="134" t="s">
        <v>154</v>
      </c>
      <c r="I48" s="137" t="n">
        <v>5.8</v>
      </c>
      <c r="J48" s="135"/>
      <c r="HV48" s="11" t="s">
        <v>274</v>
      </c>
      <c r="HW48" s="11" t="s">
        <v>159</v>
      </c>
      <c r="IR48" s="183" t="n">
        <f aca="false">327*0.038562691</f>
        <v>12.609999957</v>
      </c>
      <c r="IS48" s="183" t="n">
        <f aca="false">327*(1-0.038562691)</f>
        <v>314.390000043</v>
      </c>
    </row>
    <row r="49" customFormat="false" ht="24.05" hidden="false" customHeight="true" outlineLevel="0" collapsed="false">
      <c r="A49" s="182" t="n">
        <v>40</v>
      </c>
      <c r="B49" s="134" t="s">
        <v>107</v>
      </c>
      <c r="C49" s="134" t="s">
        <v>294</v>
      </c>
      <c r="D49" s="135" t="s">
        <v>295</v>
      </c>
      <c r="E49" s="135"/>
      <c r="F49" s="135"/>
      <c r="G49" s="135"/>
      <c r="H49" s="134" t="s">
        <v>189</v>
      </c>
      <c r="I49" s="137" t="n">
        <v>1.928</v>
      </c>
      <c r="J49" s="135"/>
      <c r="HV49" s="11" t="s">
        <v>274</v>
      </c>
      <c r="HW49" s="11" t="s">
        <v>159</v>
      </c>
      <c r="IR49" s="183" t="n">
        <f aca="false">1786.01*0.721306152</f>
        <v>1288.26000053352</v>
      </c>
      <c r="IS49" s="183" t="n">
        <f aca="false">1786.01*(1-0.721306152)</f>
        <v>497.74999946648</v>
      </c>
    </row>
    <row r="50" customFormat="false" ht="15" hidden="false" customHeight="true" outlineLevel="0" collapsed="false">
      <c r="A50" s="182" t="n">
        <v>41</v>
      </c>
      <c r="B50" s="134" t="s">
        <v>107</v>
      </c>
      <c r="C50" s="134" t="s">
        <v>297</v>
      </c>
      <c r="D50" s="135" t="s">
        <v>298</v>
      </c>
      <c r="E50" s="135"/>
      <c r="F50" s="135"/>
      <c r="G50" s="135"/>
      <c r="H50" s="134" t="s">
        <v>169</v>
      </c>
      <c r="I50" s="137" t="n">
        <v>70.1</v>
      </c>
      <c r="J50" s="135"/>
      <c r="HV50" s="11" t="s">
        <v>274</v>
      </c>
      <c r="HW50" s="11" t="s">
        <v>159</v>
      </c>
      <c r="IR50" s="183" t="n">
        <f aca="false">862*0.100568445</f>
        <v>86.68999959</v>
      </c>
      <c r="IS50" s="183" t="n">
        <f aca="false">862*(1-0.100568445)</f>
        <v>775.31000041</v>
      </c>
    </row>
    <row r="51" customFormat="false" ht="15" hidden="false" customHeight="true" outlineLevel="0" collapsed="false">
      <c r="A51" s="184" t="n">
        <v>42</v>
      </c>
      <c r="B51" s="139" t="s">
        <v>107</v>
      </c>
      <c r="C51" s="139" t="s">
        <v>300</v>
      </c>
      <c r="D51" s="140" t="s">
        <v>301</v>
      </c>
      <c r="E51" s="140"/>
      <c r="F51" s="140"/>
      <c r="G51" s="135"/>
      <c r="H51" s="139" t="s">
        <v>169</v>
      </c>
      <c r="I51" s="142" t="n">
        <v>71.502</v>
      </c>
      <c r="J51" s="140"/>
      <c r="HV51" s="185" t="s">
        <v>274</v>
      </c>
      <c r="HW51" s="185" t="s">
        <v>180</v>
      </c>
      <c r="IR51" s="186" t="n">
        <f aca="false">600*1</f>
        <v>600</v>
      </c>
      <c r="IS51" s="186" t="n">
        <f aca="false">600*(1-1)</f>
        <v>0</v>
      </c>
    </row>
    <row r="52" customFormat="false" ht="15" hidden="false" customHeight="true" outlineLevel="0" collapsed="false">
      <c r="A52" s="182" t="n">
        <v>43</v>
      </c>
      <c r="B52" s="134" t="s">
        <v>107</v>
      </c>
      <c r="C52" s="134" t="s">
        <v>303</v>
      </c>
      <c r="D52" s="135" t="s">
        <v>304</v>
      </c>
      <c r="E52" s="135"/>
      <c r="F52" s="135"/>
      <c r="G52" s="135"/>
      <c r="H52" s="134" t="s">
        <v>154</v>
      </c>
      <c r="I52" s="137" t="n">
        <v>45.7</v>
      </c>
      <c r="J52" s="135"/>
      <c r="HV52" s="11" t="s">
        <v>274</v>
      </c>
      <c r="HW52" s="11" t="s">
        <v>159</v>
      </c>
      <c r="IR52" s="183" t="n">
        <f aca="false">344.49*0.04003019</f>
        <v>13.7900001531</v>
      </c>
      <c r="IS52" s="183" t="n">
        <f aca="false">344.49*(1-0.04003019)</f>
        <v>330.6999998469</v>
      </c>
    </row>
    <row r="53" customFormat="false" ht="15" hidden="false" customHeight="true" outlineLevel="0" collapsed="false">
      <c r="A53" s="182" t="n">
        <v>44</v>
      </c>
      <c r="B53" s="134" t="s">
        <v>107</v>
      </c>
      <c r="C53" s="134" t="s">
        <v>306</v>
      </c>
      <c r="D53" s="135" t="s">
        <v>307</v>
      </c>
      <c r="E53" s="135"/>
      <c r="F53" s="135"/>
      <c r="G53" s="135"/>
      <c r="H53" s="134" t="s">
        <v>202</v>
      </c>
      <c r="I53" s="137" t="n">
        <v>1</v>
      </c>
      <c r="J53" s="135"/>
      <c r="HV53" s="11" t="s">
        <v>274</v>
      </c>
      <c r="HW53" s="11" t="s">
        <v>159</v>
      </c>
      <c r="IR53" s="183" t="n">
        <f aca="false">1141.99*0.011471204</f>
        <v>13.10000025596</v>
      </c>
      <c r="IS53" s="183" t="n">
        <f aca="false">1141.99*(1-0.011471204)</f>
        <v>1128.88999974404</v>
      </c>
    </row>
    <row r="54" customFormat="false" ht="207" hidden="false" customHeight="true" outlineLevel="0" collapsed="false">
      <c r="A54" s="184" t="n">
        <v>45</v>
      </c>
      <c r="B54" s="139" t="s">
        <v>107</v>
      </c>
      <c r="C54" s="139" t="s">
        <v>309</v>
      </c>
      <c r="D54" s="140" t="s">
        <v>310</v>
      </c>
      <c r="E54" s="140"/>
      <c r="F54" s="140"/>
      <c r="G54" s="135"/>
      <c r="H54" s="139" t="s">
        <v>202</v>
      </c>
      <c r="I54" s="142" t="n">
        <v>1</v>
      </c>
      <c r="J54" s="140" t="s">
        <v>762</v>
      </c>
      <c r="HV54" s="185" t="s">
        <v>274</v>
      </c>
      <c r="HW54" s="185" t="s">
        <v>180</v>
      </c>
      <c r="IR54" s="186" t="n">
        <f aca="false">11710*1</f>
        <v>11710</v>
      </c>
      <c r="IS54" s="186" t="n">
        <f aca="false">11710*(1-1)</f>
        <v>0</v>
      </c>
    </row>
    <row r="55" customFormat="false" ht="24.05" hidden="false" customHeight="true" outlineLevel="0" collapsed="false">
      <c r="A55" s="182" t="n">
        <v>46</v>
      </c>
      <c r="B55" s="134" t="s">
        <v>107</v>
      </c>
      <c r="C55" s="134" t="s">
        <v>312</v>
      </c>
      <c r="D55" s="135" t="s">
        <v>313</v>
      </c>
      <c r="E55" s="135"/>
      <c r="F55" s="135"/>
      <c r="G55" s="135" t="s">
        <v>763</v>
      </c>
      <c r="H55" s="134" t="s">
        <v>154</v>
      </c>
      <c r="I55" s="137" t="n">
        <v>3.5</v>
      </c>
      <c r="J55" s="135"/>
      <c r="HV55" s="11" t="s">
        <v>274</v>
      </c>
      <c r="HW55" s="11" t="s">
        <v>159</v>
      </c>
      <c r="IR55" s="183" t="n">
        <f aca="false">334*0.714041916</f>
        <v>238.489999944</v>
      </c>
      <c r="IS55" s="183" t="n">
        <f aca="false">334*(1-0.714041916)</f>
        <v>95.510000056</v>
      </c>
    </row>
    <row r="56" customFormat="false" ht="24.05" hidden="false" customHeight="true" outlineLevel="0" collapsed="false">
      <c r="A56" s="182" t="n">
        <v>47</v>
      </c>
      <c r="B56" s="134" t="s">
        <v>107</v>
      </c>
      <c r="C56" s="134" t="s">
        <v>315</v>
      </c>
      <c r="D56" s="135" t="s">
        <v>316</v>
      </c>
      <c r="E56" s="135"/>
      <c r="F56" s="135"/>
      <c r="G56" s="135" t="s">
        <v>764</v>
      </c>
      <c r="H56" s="134" t="s">
        <v>189</v>
      </c>
      <c r="I56" s="137" t="n">
        <v>4.26</v>
      </c>
      <c r="J56" s="135"/>
      <c r="HV56" s="11" t="s">
        <v>274</v>
      </c>
      <c r="HW56" s="11" t="s">
        <v>159</v>
      </c>
      <c r="IR56" s="183" t="n">
        <f aca="false">4855*0.917371782</f>
        <v>4453.84000161</v>
      </c>
      <c r="IS56" s="183" t="n">
        <f aca="false">4855*(1-0.917371782)</f>
        <v>401.15999839</v>
      </c>
    </row>
    <row r="57" customFormat="false" ht="15" hidden="false" customHeight="true" outlineLevel="0" collapsed="false">
      <c r="A57" s="182" t="n">
        <v>48</v>
      </c>
      <c r="B57" s="134" t="s">
        <v>107</v>
      </c>
      <c r="C57" s="134" t="s">
        <v>318</v>
      </c>
      <c r="D57" s="135" t="s">
        <v>319</v>
      </c>
      <c r="E57" s="135"/>
      <c r="F57" s="135"/>
      <c r="G57" s="135"/>
      <c r="H57" s="134" t="s">
        <v>179</v>
      </c>
      <c r="I57" s="137" t="n">
        <v>35.207</v>
      </c>
      <c r="J57" s="135"/>
      <c r="HV57" s="11" t="s">
        <v>274</v>
      </c>
      <c r="HW57" s="11" t="s">
        <v>159</v>
      </c>
      <c r="IR57" s="183" t="n">
        <f aca="false">328*0</f>
        <v>0</v>
      </c>
      <c r="IS57" s="183" t="n">
        <f aca="false">328*(1-0)</f>
        <v>328</v>
      </c>
    </row>
    <row r="58" customFormat="false" ht="15" hidden="false" customHeight="true" outlineLevel="0" collapsed="false">
      <c r="A58" s="129" t="s">
        <v>97</v>
      </c>
      <c r="B58" s="129" t="s">
        <v>107</v>
      </c>
      <c r="C58" s="129" t="s">
        <v>320</v>
      </c>
      <c r="D58" s="130" t="s">
        <v>321</v>
      </c>
      <c r="E58" s="130"/>
      <c r="F58" s="130"/>
      <c r="G58" s="129" t="s">
        <v>97</v>
      </c>
      <c r="H58" s="129" t="s">
        <v>97</v>
      </c>
      <c r="I58" s="133" t="s">
        <v>97</v>
      </c>
      <c r="J58" s="129" t="s">
        <v>97</v>
      </c>
    </row>
    <row r="59" customFormat="false" ht="24.05" hidden="false" customHeight="true" outlineLevel="0" collapsed="false">
      <c r="A59" s="182" t="n">
        <v>49</v>
      </c>
      <c r="B59" s="134" t="s">
        <v>107</v>
      </c>
      <c r="C59" s="134" t="s">
        <v>323</v>
      </c>
      <c r="D59" s="135" t="s">
        <v>324</v>
      </c>
      <c r="E59" s="135"/>
      <c r="F59" s="135"/>
      <c r="G59" s="135"/>
      <c r="H59" s="134" t="s">
        <v>325</v>
      </c>
      <c r="I59" s="137" t="n">
        <v>433.512</v>
      </c>
      <c r="J59" s="135"/>
      <c r="HV59" s="11" t="s">
        <v>320</v>
      </c>
      <c r="HW59" s="11" t="s">
        <v>159</v>
      </c>
      <c r="IR59" s="183" t="n">
        <f aca="false">80.9*0.152781211</f>
        <v>12.3599999699</v>
      </c>
      <c r="IS59" s="183" t="n">
        <f aca="false">80.9*(1-0.152781211)</f>
        <v>68.5400000301</v>
      </c>
    </row>
    <row r="60" customFormat="false" ht="15" hidden="false" customHeight="true" outlineLevel="0" collapsed="false">
      <c r="A60" s="184" t="n">
        <v>50</v>
      </c>
      <c r="B60" s="139" t="s">
        <v>107</v>
      </c>
      <c r="C60" s="139" t="s">
        <v>329</v>
      </c>
      <c r="D60" s="140" t="s">
        <v>330</v>
      </c>
      <c r="E60" s="140"/>
      <c r="F60" s="140"/>
      <c r="G60" s="135"/>
      <c r="H60" s="139" t="s">
        <v>325</v>
      </c>
      <c r="I60" s="142" t="n">
        <v>31.363</v>
      </c>
      <c r="J60" s="140"/>
      <c r="HV60" s="185" t="s">
        <v>320</v>
      </c>
      <c r="HW60" s="185" t="s">
        <v>180</v>
      </c>
      <c r="IR60" s="186" t="n">
        <f aca="false">95.7*1</f>
        <v>95.7</v>
      </c>
      <c r="IS60" s="186" t="n">
        <f aca="false">95.7*(1-1)</f>
        <v>0</v>
      </c>
    </row>
    <row r="61" customFormat="false" ht="15" hidden="false" customHeight="true" outlineLevel="0" collapsed="false">
      <c r="A61" s="184" t="n">
        <v>51</v>
      </c>
      <c r="B61" s="139" t="s">
        <v>107</v>
      </c>
      <c r="C61" s="139" t="s">
        <v>329</v>
      </c>
      <c r="D61" s="140" t="s">
        <v>332</v>
      </c>
      <c r="E61" s="140"/>
      <c r="F61" s="140"/>
      <c r="G61" s="135"/>
      <c r="H61" s="139" t="s">
        <v>325</v>
      </c>
      <c r="I61" s="142" t="n">
        <v>445.5</v>
      </c>
      <c r="J61" s="140"/>
      <c r="HV61" s="185" t="s">
        <v>320</v>
      </c>
      <c r="HW61" s="185" t="s">
        <v>180</v>
      </c>
      <c r="IR61" s="186" t="n">
        <f aca="false">95.7*1</f>
        <v>95.7</v>
      </c>
      <c r="IS61" s="186" t="n">
        <f aca="false">95.7*(1-1)</f>
        <v>0</v>
      </c>
    </row>
    <row r="62" customFormat="false" ht="15" hidden="false" customHeight="true" outlineLevel="0" collapsed="false">
      <c r="A62" s="182" t="n">
        <v>52</v>
      </c>
      <c r="B62" s="134" t="s">
        <v>107</v>
      </c>
      <c r="C62" s="134" t="s">
        <v>334</v>
      </c>
      <c r="D62" s="135" t="s">
        <v>335</v>
      </c>
      <c r="E62" s="135"/>
      <c r="F62" s="135"/>
      <c r="G62" s="135"/>
      <c r="H62" s="134" t="s">
        <v>179</v>
      </c>
      <c r="I62" s="137" t="n">
        <v>0.498</v>
      </c>
      <c r="J62" s="135"/>
      <c r="HV62" s="11" t="s">
        <v>320</v>
      </c>
      <c r="HW62" s="11" t="s">
        <v>159</v>
      </c>
      <c r="IR62" s="183" t="n">
        <f aca="false">1950*0</f>
        <v>0</v>
      </c>
      <c r="IS62" s="183" t="n">
        <f aca="false">1950*(1-0)</f>
        <v>1950</v>
      </c>
    </row>
    <row r="63" customFormat="false" ht="15" hidden="false" customHeight="true" outlineLevel="0" collapsed="false">
      <c r="A63" s="129" t="s">
        <v>97</v>
      </c>
      <c r="B63" s="129" t="s">
        <v>107</v>
      </c>
      <c r="C63" s="129" t="s">
        <v>336</v>
      </c>
      <c r="D63" s="130" t="s">
        <v>337</v>
      </c>
      <c r="E63" s="130"/>
      <c r="F63" s="130"/>
      <c r="G63" s="129" t="s">
        <v>97</v>
      </c>
      <c r="H63" s="129" t="s">
        <v>97</v>
      </c>
      <c r="I63" s="133" t="s">
        <v>97</v>
      </c>
      <c r="J63" s="129" t="s">
        <v>97</v>
      </c>
    </row>
    <row r="64" customFormat="false" ht="789.6" hidden="false" customHeight="true" outlineLevel="0" collapsed="false">
      <c r="A64" s="182" t="n">
        <v>53</v>
      </c>
      <c r="B64" s="134" t="s">
        <v>107</v>
      </c>
      <c r="C64" s="134" t="s">
        <v>339</v>
      </c>
      <c r="D64" s="135" t="s">
        <v>340</v>
      </c>
      <c r="E64" s="135"/>
      <c r="F64" s="135"/>
      <c r="G64" s="135" t="s">
        <v>765</v>
      </c>
      <c r="H64" s="134" t="s">
        <v>163</v>
      </c>
      <c r="I64" s="137" t="n">
        <v>8</v>
      </c>
      <c r="J64" s="135" t="s">
        <v>766</v>
      </c>
      <c r="HV64" s="11" t="s">
        <v>336</v>
      </c>
      <c r="HW64" s="11" t="s">
        <v>159</v>
      </c>
      <c r="IR64" s="183" t="n">
        <f aca="false">964*0.008298755</f>
        <v>7.99999982</v>
      </c>
      <c r="IS64" s="183" t="n">
        <f aca="false">964*(1-0.008298755)</f>
        <v>956.00000018</v>
      </c>
    </row>
    <row r="65" customFormat="false" ht="789.6" hidden="false" customHeight="true" outlineLevel="0" collapsed="false">
      <c r="A65" s="182" t="n">
        <v>54</v>
      </c>
      <c r="B65" s="134" t="s">
        <v>107</v>
      </c>
      <c r="C65" s="134" t="s">
        <v>344</v>
      </c>
      <c r="D65" s="135" t="s">
        <v>345</v>
      </c>
      <c r="E65" s="135"/>
      <c r="F65" s="135"/>
      <c r="G65" s="135" t="s">
        <v>767</v>
      </c>
      <c r="H65" s="134" t="s">
        <v>163</v>
      </c>
      <c r="I65" s="137" t="n">
        <v>8</v>
      </c>
      <c r="J65" s="135" t="s">
        <v>766</v>
      </c>
      <c r="HV65" s="11" t="s">
        <v>336</v>
      </c>
      <c r="HW65" s="11" t="s">
        <v>159</v>
      </c>
      <c r="IR65" s="183" t="n">
        <f aca="false">701*0</f>
        <v>0</v>
      </c>
      <c r="IS65" s="183" t="n">
        <f aca="false">701*(1-0)</f>
        <v>701</v>
      </c>
    </row>
    <row r="66" customFormat="false" ht="24.05" hidden="false" customHeight="true" outlineLevel="0" collapsed="false">
      <c r="A66" s="129" t="s">
        <v>97</v>
      </c>
      <c r="B66" s="129" t="s">
        <v>107</v>
      </c>
      <c r="C66" s="129" t="s">
        <v>346</v>
      </c>
      <c r="D66" s="130" t="s">
        <v>347</v>
      </c>
      <c r="E66" s="130"/>
      <c r="F66" s="130"/>
      <c r="G66" s="129" t="s">
        <v>97</v>
      </c>
      <c r="H66" s="129" t="s">
        <v>97</v>
      </c>
      <c r="I66" s="133" t="s">
        <v>97</v>
      </c>
      <c r="J66" s="129" t="s">
        <v>97</v>
      </c>
    </row>
    <row r="67" customFormat="false" ht="24.05" hidden="false" customHeight="true" outlineLevel="0" collapsed="false">
      <c r="A67" s="182" t="n">
        <v>55</v>
      </c>
      <c r="B67" s="134" t="s">
        <v>107</v>
      </c>
      <c r="C67" s="134" t="s">
        <v>349</v>
      </c>
      <c r="D67" s="135" t="s">
        <v>350</v>
      </c>
      <c r="E67" s="135"/>
      <c r="F67" s="135"/>
      <c r="G67" s="135" t="s">
        <v>761</v>
      </c>
      <c r="H67" s="134" t="s">
        <v>169</v>
      </c>
      <c r="I67" s="137" t="n">
        <v>6.853</v>
      </c>
      <c r="J67" s="135"/>
      <c r="HV67" s="11" t="s">
        <v>346</v>
      </c>
      <c r="HW67" s="11" t="s">
        <v>159</v>
      </c>
      <c r="IR67" s="183" t="n">
        <f aca="false">135.5*0.77298893</f>
        <v>104.740000015</v>
      </c>
      <c r="IS67" s="183" t="n">
        <f aca="false">135.5*(1-0.77298893)</f>
        <v>30.759999985</v>
      </c>
    </row>
    <row r="68" customFormat="false" ht="15" hidden="false" customHeight="true" outlineLevel="0" collapsed="false">
      <c r="A68" s="182" t="n">
        <v>56</v>
      </c>
      <c r="B68" s="134" t="s">
        <v>107</v>
      </c>
      <c r="C68" s="134" t="s">
        <v>353</v>
      </c>
      <c r="D68" s="135" t="s">
        <v>354</v>
      </c>
      <c r="E68" s="135"/>
      <c r="F68" s="135"/>
      <c r="G68" s="135"/>
      <c r="H68" s="134" t="s">
        <v>169</v>
      </c>
      <c r="I68" s="137" t="n">
        <v>5.46</v>
      </c>
      <c r="J68" s="135"/>
      <c r="HV68" s="11" t="s">
        <v>346</v>
      </c>
      <c r="HW68" s="11" t="s">
        <v>159</v>
      </c>
      <c r="IR68" s="183" t="n">
        <f aca="false">92.8*0</f>
        <v>0</v>
      </c>
      <c r="IS68" s="183" t="n">
        <f aca="false">92.8*(1-0)</f>
        <v>92.8</v>
      </c>
    </row>
    <row r="69" customFormat="false" ht="15" hidden="false" customHeight="true" outlineLevel="0" collapsed="false">
      <c r="A69" s="184" t="n">
        <v>57</v>
      </c>
      <c r="B69" s="139" t="s">
        <v>107</v>
      </c>
      <c r="C69" s="139" t="s">
        <v>356</v>
      </c>
      <c r="D69" s="140" t="s">
        <v>357</v>
      </c>
      <c r="E69" s="140"/>
      <c r="F69" s="140"/>
      <c r="G69" s="135"/>
      <c r="H69" s="139" t="s">
        <v>179</v>
      </c>
      <c r="I69" s="142" t="n">
        <v>0.481</v>
      </c>
      <c r="J69" s="140"/>
      <c r="HV69" s="185" t="s">
        <v>346</v>
      </c>
      <c r="HW69" s="185" t="s">
        <v>180</v>
      </c>
      <c r="IR69" s="186" t="n">
        <f aca="false">884*1</f>
        <v>884</v>
      </c>
      <c r="IS69" s="186" t="n">
        <f aca="false">884*(1-1)</f>
        <v>0</v>
      </c>
    </row>
    <row r="70" customFormat="false" ht="35.45" hidden="false" customHeight="true" outlineLevel="0" collapsed="false">
      <c r="A70" s="182" t="n">
        <v>58</v>
      </c>
      <c r="B70" s="134" t="s">
        <v>107</v>
      </c>
      <c r="C70" s="134" t="s">
        <v>359</v>
      </c>
      <c r="D70" s="135" t="s">
        <v>360</v>
      </c>
      <c r="E70" s="135"/>
      <c r="F70" s="135"/>
      <c r="G70" s="135"/>
      <c r="H70" s="134" t="s">
        <v>154</v>
      </c>
      <c r="I70" s="137" t="n">
        <v>13</v>
      </c>
      <c r="J70" s="135" t="s">
        <v>768</v>
      </c>
      <c r="HV70" s="11" t="s">
        <v>346</v>
      </c>
      <c r="HW70" s="11" t="s">
        <v>159</v>
      </c>
      <c r="IR70" s="183" t="n">
        <f aca="false">219.49*0.131805549</f>
        <v>28.92999995001</v>
      </c>
      <c r="IS70" s="183" t="n">
        <f aca="false">219.49*(1-0.131805549)</f>
        <v>190.56000004999</v>
      </c>
    </row>
    <row r="71" customFormat="false" ht="149.85" hidden="false" customHeight="true" outlineLevel="0" collapsed="false">
      <c r="A71" s="184" t="n">
        <v>59</v>
      </c>
      <c r="B71" s="139" t="s">
        <v>107</v>
      </c>
      <c r="C71" s="139" t="s">
        <v>361</v>
      </c>
      <c r="D71" s="140" t="s">
        <v>362</v>
      </c>
      <c r="E71" s="140"/>
      <c r="F71" s="140"/>
      <c r="G71" s="135"/>
      <c r="H71" s="139" t="s">
        <v>202</v>
      </c>
      <c r="I71" s="142" t="n">
        <v>13.13</v>
      </c>
      <c r="J71" s="140" t="s">
        <v>769</v>
      </c>
      <c r="HV71" s="185" t="s">
        <v>346</v>
      </c>
      <c r="HW71" s="185" t="s">
        <v>180</v>
      </c>
      <c r="IR71" s="186" t="n">
        <f aca="false">161.5*1</f>
        <v>161.5</v>
      </c>
      <c r="IS71" s="186" t="n">
        <f aca="false">161.5*(1-1)</f>
        <v>0</v>
      </c>
    </row>
    <row r="72" customFormat="false" ht="15" hidden="false" customHeight="true" outlineLevel="0" collapsed="false">
      <c r="A72" s="182" t="n">
        <v>60</v>
      </c>
      <c r="B72" s="134" t="s">
        <v>107</v>
      </c>
      <c r="C72" s="134" t="s">
        <v>318</v>
      </c>
      <c r="D72" s="135" t="s">
        <v>319</v>
      </c>
      <c r="E72" s="135"/>
      <c r="F72" s="135"/>
      <c r="G72" s="135"/>
      <c r="H72" s="134" t="s">
        <v>179</v>
      </c>
      <c r="I72" s="137" t="n">
        <v>3.587</v>
      </c>
      <c r="J72" s="135"/>
      <c r="HV72" s="11" t="s">
        <v>346</v>
      </c>
      <c r="HW72" s="11" t="s">
        <v>159</v>
      </c>
      <c r="IR72" s="183" t="n">
        <f aca="false">328*0</f>
        <v>0</v>
      </c>
      <c r="IS72" s="183" t="n">
        <f aca="false">328*(1-0)</f>
        <v>328</v>
      </c>
    </row>
    <row r="73" customFormat="false" ht="15" hidden="false" customHeight="true" outlineLevel="0" collapsed="false">
      <c r="A73" s="129" t="s">
        <v>97</v>
      </c>
      <c r="B73" s="129" t="s">
        <v>109</v>
      </c>
      <c r="C73" s="129"/>
      <c r="D73" s="130" t="s">
        <v>110</v>
      </c>
      <c r="E73" s="130"/>
      <c r="F73" s="130"/>
      <c r="G73" s="129" t="s">
        <v>97</v>
      </c>
      <c r="H73" s="129" t="s">
        <v>97</v>
      </c>
      <c r="I73" s="133" t="s">
        <v>97</v>
      </c>
      <c r="J73" s="129" t="s">
        <v>97</v>
      </c>
    </row>
    <row r="74" customFormat="false" ht="15" hidden="false" customHeight="true" outlineLevel="0" collapsed="false">
      <c r="A74" s="129" t="s">
        <v>97</v>
      </c>
      <c r="B74" s="129" t="s">
        <v>109</v>
      </c>
      <c r="C74" s="129" t="s">
        <v>149</v>
      </c>
      <c r="D74" s="130" t="s">
        <v>150</v>
      </c>
      <c r="E74" s="130"/>
      <c r="F74" s="130"/>
      <c r="G74" s="129" t="s">
        <v>97</v>
      </c>
      <c r="H74" s="129" t="s">
        <v>97</v>
      </c>
      <c r="I74" s="133" t="s">
        <v>97</v>
      </c>
      <c r="J74" s="129" t="s">
        <v>97</v>
      </c>
    </row>
    <row r="75" customFormat="false" ht="24.05" hidden="false" customHeight="true" outlineLevel="0" collapsed="false">
      <c r="A75" s="182" t="n">
        <v>61</v>
      </c>
      <c r="B75" s="134" t="s">
        <v>109</v>
      </c>
      <c r="C75" s="134" t="s">
        <v>365</v>
      </c>
      <c r="D75" s="135" t="s">
        <v>366</v>
      </c>
      <c r="E75" s="135"/>
      <c r="F75" s="135"/>
      <c r="G75" s="135"/>
      <c r="H75" s="134" t="s">
        <v>169</v>
      </c>
      <c r="I75" s="137" t="n">
        <v>67.4</v>
      </c>
      <c r="J75" s="135"/>
      <c r="HV75" s="11" t="s">
        <v>149</v>
      </c>
      <c r="HW75" s="11" t="s">
        <v>159</v>
      </c>
      <c r="IR75" s="183" t="n">
        <f aca="false">6.91*0.00723589</f>
        <v>0.0499999999</v>
      </c>
      <c r="IS75" s="183" t="n">
        <f aca="false">6.91*(1-0.00723589)</f>
        <v>6.8600000001</v>
      </c>
    </row>
    <row r="76" customFormat="false" ht="15" hidden="false" customHeight="true" outlineLevel="0" collapsed="false">
      <c r="A76" s="184" t="n">
        <v>62</v>
      </c>
      <c r="B76" s="139" t="s">
        <v>109</v>
      </c>
      <c r="C76" s="139" t="s">
        <v>370</v>
      </c>
      <c r="D76" s="140" t="s">
        <v>371</v>
      </c>
      <c r="E76" s="140"/>
      <c r="F76" s="140"/>
      <c r="G76" s="135"/>
      <c r="H76" s="139" t="s">
        <v>372</v>
      </c>
      <c r="I76" s="142" t="n">
        <v>0.044</v>
      </c>
      <c r="J76" s="140"/>
      <c r="HV76" s="185" t="s">
        <v>149</v>
      </c>
      <c r="HW76" s="185" t="s">
        <v>180</v>
      </c>
      <c r="IR76" s="186" t="n">
        <f aca="false">502*1</f>
        <v>502</v>
      </c>
      <c r="IS76" s="186" t="n">
        <f aca="false">502*(1-1)</f>
        <v>0</v>
      </c>
    </row>
    <row r="77" customFormat="false" ht="24.05" hidden="false" customHeight="true" outlineLevel="0" collapsed="false">
      <c r="A77" s="182" t="n">
        <v>63</v>
      </c>
      <c r="B77" s="134" t="s">
        <v>109</v>
      </c>
      <c r="C77" s="134" t="s">
        <v>374</v>
      </c>
      <c r="D77" s="135" t="s">
        <v>375</v>
      </c>
      <c r="E77" s="135"/>
      <c r="F77" s="135"/>
      <c r="G77" s="135"/>
      <c r="H77" s="134" t="s">
        <v>169</v>
      </c>
      <c r="I77" s="137" t="n">
        <v>33.7</v>
      </c>
      <c r="J77" s="135"/>
      <c r="HV77" s="11" t="s">
        <v>149</v>
      </c>
      <c r="HW77" s="11" t="s">
        <v>159</v>
      </c>
      <c r="IR77" s="183" t="n">
        <f aca="false">23.7*0</f>
        <v>0</v>
      </c>
      <c r="IS77" s="183" t="n">
        <f aca="false">23.7*(1-0)</f>
        <v>23.7</v>
      </c>
    </row>
    <row r="78" customFormat="false" ht="15" hidden="false" customHeight="true" outlineLevel="0" collapsed="false">
      <c r="A78" s="182" t="n">
        <v>64</v>
      </c>
      <c r="B78" s="134" t="s">
        <v>109</v>
      </c>
      <c r="C78" s="134" t="s">
        <v>377</v>
      </c>
      <c r="D78" s="135" t="s">
        <v>378</v>
      </c>
      <c r="E78" s="135"/>
      <c r="F78" s="135"/>
      <c r="G78" s="135"/>
      <c r="H78" s="134" t="s">
        <v>169</v>
      </c>
      <c r="I78" s="137" t="n">
        <v>33.7</v>
      </c>
      <c r="J78" s="135"/>
      <c r="HV78" s="11" t="s">
        <v>149</v>
      </c>
      <c r="HW78" s="11" t="s">
        <v>159</v>
      </c>
      <c r="IR78" s="183" t="n">
        <f aca="false">39*0.146153846</f>
        <v>5.699999994</v>
      </c>
      <c r="IS78" s="183" t="n">
        <f aca="false">39*(1-0.146153846)</f>
        <v>33.300000006</v>
      </c>
    </row>
    <row r="79" customFormat="false" ht="24.05" hidden="false" customHeight="true" outlineLevel="0" collapsed="false">
      <c r="A79" s="182" t="n">
        <v>65</v>
      </c>
      <c r="B79" s="134" t="s">
        <v>109</v>
      </c>
      <c r="C79" s="134" t="s">
        <v>380</v>
      </c>
      <c r="D79" s="135" t="s">
        <v>381</v>
      </c>
      <c r="E79" s="135"/>
      <c r="F79" s="135"/>
      <c r="G79" s="135"/>
      <c r="H79" s="134" t="s">
        <v>169</v>
      </c>
      <c r="I79" s="137" t="n">
        <v>33.7</v>
      </c>
      <c r="J79" s="135"/>
      <c r="HV79" s="11" t="s">
        <v>149</v>
      </c>
      <c r="HW79" s="11" t="s">
        <v>159</v>
      </c>
      <c r="IR79" s="183" t="n">
        <f aca="false">51*0</f>
        <v>0</v>
      </c>
      <c r="IS79" s="183" t="n">
        <f aca="false">51*(1-0)</f>
        <v>51</v>
      </c>
    </row>
    <row r="80" customFormat="false" ht="15" hidden="false" customHeight="true" outlineLevel="0" collapsed="false">
      <c r="A80" s="182" t="n">
        <v>66</v>
      </c>
      <c r="B80" s="134" t="s">
        <v>109</v>
      </c>
      <c r="C80" s="134" t="s">
        <v>383</v>
      </c>
      <c r="D80" s="135" t="s">
        <v>384</v>
      </c>
      <c r="E80" s="135"/>
      <c r="F80" s="135"/>
      <c r="G80" s="135"/>
      <c r="H80" s="134" t="s">
        <v>169</v>
      </c>
      <c r="I80" s="137" t="n">
        <v>33.7</v>
      </c>
      <c r="J80" s="135"/>
      <c r="HV80" s="11" t="s">
        <v>149</v>
      </c>
      <c r="HW80" s="11" t="s">
        <v>159</v>
      </c>
      <c r="IR80" s="183" t="n">
        <f aca="false">29.1*0</f>
        <v>0</v>
      </c>
      <c r="IS80" s="183" t="n">
        <f aca="false">29.1*(1-0)</f>
        <v>29.1</v>
      </c>
    </row>
    <row r="81" customFormat="false" ht="15" hidden="false" customHeight="true" outlineLevel="0" collapsed="false">
      <c r="A81" s="129" t="s">
        <v>97</v>
      </c>
      <c r="B81" s="129" t="s">
        <v>109</v>
      </c>
      <c r="C81" s="129" t="s">
        <v>222</v>
      </c>
      <c r="D81" s="130" t="s">
        <v>385</v>
      </c>
      <c r="E81" s="130"/>
      <c r="F81" s="130"/>
      <c r="G81" s="129" t="s">
        <v>97</v>
      </c>
      <c r="H81" s="129" t="s">
        <v>97</v>
      </c>
      <c r="I81" s="133" t="s">
        <v>97</v>
      </c>
      <c r="J81" s="129" t="s">
        <v>97</v>
      </c>
    </row>
    <row r="82" customFormat="false" ht="15" hidden="false" customHeight="true" outlineLevel="0" collapsed="false">
      <c r="A82" s="182" t="n">
        <v>67</v>
      </c>
      <c r="B82" s="134" t="s">
        <v>109</v>
      </c>
      <c r="C82" s="134" t="s">
        <v>387</v>
      </c>
      <c r="D82" s="135" t="s">
        <v>388</v>
      </c>
      <c r="E82" s="135"/>
      <c r="F82" s="135"/>
      <c r="G82" s="135"/>
      <c r="H82" s="134" t="s">
        <v>202</v>
      </c>
      <c r="I82" s="137" t="n">
        <v>193</v>
      </c>
      <c r="J82" s="135"/>
      <c r="HV82" s="11" t="s">
        <v>222</v>
      </c>
      <c r="HW82" s="11" t="s">
        <v>159</v>
      </c>
      <c r="IR82" s="183" t="n">
        <f aca="false">15.09*0.007952286</f>
        <v>0.11999999574</v>
      </c>
      <c r="IS82" s="183" t="n">
        <f aca="false">15.09*(1-0.007952286)</f>
        <v>14.97000000426</v>
      </c>
    </row>
    <row r="83" customFormat="false" ht="15" hidden="false" customHeight="true" outlineLevel="0" collapsed="false">
      <c r="A83" s="182" t="n">
        <v>68</v>
      </c>
      <c r="B83" s="134" t="s">
        <v>109</v>
      </c>
      <c r="C83" s="134" t="s">
        <v>391</v>
      </c>
      <c r="D83" s="135" t="s">
        <v>392</v>
      </c>
      <c r="E83" s="135"/>
      <c r="F83" s="135"/>
      <c r="G83" s="135"/>
      <c r="H83" s="134" t="s">
        <v>202</v>
      </c>
      <c r="I83" s="137" t="n">
        <v>193</v>
      </c>
      <c r="J83" s="135"/>
      <c r="HV83" s="11" t="s">
        <v>222</v>
      </c>
      <c r="HW83" s="11" t="s">
        <v>159</v>
      </c>
      <c r="IR83" s="183" t="n">
        <f aca="false">13.2*0</f>
        <v>0</v>
      </c>
      <c r="IS83" s="183" t="n">
        <f aca="false">13.2*(1-0)</f>
        <v>13.2</v>
      </c>
    </row>
    <row r="84" customFormat="false" ht="15" hidden="false" customHeight="true" outlineLevel="0" collapsed="false">
      <c r="A84" s="182" t="n">
        <v>69</v>
      </c>
      <c r="B84" s="134" t="s">
        <v>109</v>
      </c>
      <c r="C84" s="134" t="s">
        <v>394</v>
      </c>
      <c r="D84" s="135" t="s">
        <v>395</v>
      </c>
      <c r="E84" s="135"/>
      <c r="F84" s="135"/>
      <c r="G84" s="135"/>
      <c r="H84" s="134" t="s">
        <v>202</v>
      </c>
      <c r="I84" s="137" t="n">
        <v>193</v>
      </c>
      <c r="J84" s="135"/>
      <c r="HV84" s="11" t="s">
        <v>222</v>
      </c>
      <c r="HW84" s="11" t="s">
        <v>159</v>
      </c>
      <c r="IR84" s="183" t="n">
        <f aca="false">32.3*0</f>
        <v>0</v>
      </c>
      <c r="IS84" s="183" t="n">
        <f aca="false">32.3*(1-0)</f>
        <v>32.3</v>
      </c>
    </row>
    <row r="85" customFormat="false" ht="24.05" hidden="false" customHeight="true" outlineLevel="0" collapsed="false">
      <c r="A85" s="184" t="n">
        <v>70</v>
      </c>
      <c r="B85" s="139" t="s">
        <v>109</v>
      </c>
      <c r="C85" s="139" t="s">
        <v>397</v>
      </c>
      <c r="D85" s="140" t="s">
        <v>398</v>
      </c>
      <c r="E85" s="140"/>
      <c r="F85" s="140"/>
      <c r="G85" s="135"/>
      <c r="H85" s="139" t="s">
        <v>202</v>
      </c>
      <c r="I85" s="142" t="n">
        <v>1.93</v>
      </c>
      <c r="J85" s="140"/>
      <c r="HV85" s="185" t="s">
        <v>222</v>
      </c>
      <c r="HW85" s="185" t="s">
        <v>180</v>
      </c>
      <c r="IR85" s="186" t="n">
        <f aca="false">295.5*1</f>
        <v>295.5</v>
      </c>
      <c r="IS85" s="186" t="n">
        <f aca="false">295.5*(1-1)</f>
        <v>0</v>
      </c>
    </row>
    <row r="86" customFormat="false" ht="15" hidden="false" customHeight="true" outlineLevel="0" collapsed="false">
      <c r="A86" s="182" t="n">
        <v>71</v>
      </c>
      <c r="B86" s="134" t="s">
        <v>109</v>
      </c>
      <c r="C86" s="134" t="s">
        <v>400</v>
      </c>
      <c r="D86" s="135" t="s">
        <v>401</v>
      </c>
      <c r="E86" s="135"/>
      <c r="F86" s="135"/>
      <c r="G86" s="135"/>
      <c r="H86" s="134" t="s">
        <v>169</v>
      </c>
      <c r="I86" s="137" t="n">
        <v>33.7</v>
      </c>
      <c r="J86" s="135"/>
      <c r="HV86" s="11" t="s">
        <v>222</v>
      </c>
      <c r="HW86" s="11" t="s">
        <v>159</v>
      </c>
      <c r="IR86" s="183" t="n">
        <f aca="false">92.2*0</f>
        <v>0</v>
      </c>
      <c r="IS86" s="183" t="n">
        <f aca="false">92.2*(1-0)</f>
        <v>92.2</v>
      </c>
    </row>
    <row r="87" customFormat="false" ht="24.05" hidden="false" customHeight="true" outlineLevel="0" collapsed="false">
      <c r="A87" s="184" t="n">
        <v>72</v>
      </c>
      <c r="B87" s="139" t="s">
        <v>109</v>
      </c>
      <c r="C87" s="139" t="s">
        <v>356</v>
      </c>
      <c r="D87" s="140" t="s">
        <v>403</v>
      </c>
      <c r="E87" s="140"/>
      <c r="F87" s="140"/>
      <c r="G87" s="135"/>
      <c r="H87" s="139" t="s">
        <v>179</v>
      </c>
      <c r="I87" s="142" t="n">
        <v>4.671</v>
      </c>
      <c r="J87" s="140"/>
      <c r="HV87" s="185" t="s">
        <v>222</v>
      </c>
      <c r="HW87" s="185" t="s">
        <v>180</v>
      </c>
      <c r="IR87" s="186" t="n">
        <f aca="false">884*1</f>
        <v>884</v>
      </c>
      <c r="IS87" s="186" t="n">
        <f aca="false">884*(1-1)</f>
        <v>0</v>
      </c>
    </row>
    <row r="88" customFormat="false" ht="24.05" hidden="false" customHeight="true" outlineLevel="0" collapsed="false">
      <c r="A88" s="182" t="n">
        <v>73</v>
      </c>
      <c r="B88" s="134" t="s">
        <v>109</v>
      </c>
      <c r="C88" s="134" t="s">
        <v>380</v>
      </c>
      <c r="D88" s="135" t="s">
        <v>405</v>
      </c>
      <c r="E88" s="135"/>
      <c r="F88" s="135"/>
      <c r="G88" s="135"/>
      <c r="H88" s="134" t="s">
        <v>169</v>
      </c>
      <c r="I88" s="137" t="n">
        <v>33.7</v>
      </c>
      <c r="J88" s="135"/>
      <c r="HV88" s="11" t="s">
        <v>222</v>
      </c>
      <c r="HW88" s="11" t="s">
        <v>159</v>
      </c>
      <c r="IR88" s="183" t="n">
        <f aca="false">51*0</f>
        <v>0</v>
      </c>
      <c r="IS88" s="183" t="n">
        <f aca="false">51*(1-0)</f>
        <v>51</v>
      </c>
    </row>
    <row r="89" customFormat="false" ht="46.6" hidden="false" customHeight="true" outlineLevel="0" collapsed="false">
      <c r="A89" s="182" t="n">
        <v>74</v>
      </c>
      <c r="B89" s="134" t="s">
        <v>109</v>
      </c>
      <c r="C89" s="134" t="s">
        <v>407</v>
      </c>
      <c r="D89" s="135" t="s">
        <v>408</v>
      </c>
      <c r="E89" s="135"/>
      <c r="F89" s="135"/>
      <c r="G89" s="135"/>
      <c r="H89" s="134" t="s">
        <v>169</v>
      </c>
      <c r="I89" s="137" t="n">
        <v>33.7</v>
      </c>
      <c r="J89" s="135" t="s">
        <v>770</v>
      </c>
      <c r="HV89" s="11" t="s">
        <v>222</v>
      </c>
      <c r="HW89" s="11" t="s">
        <v>159</v>
      </c>
      <c r="IR89" s="183" t="n">
        <f aca="false">11.69*0</f>
        <v>0</v>
      </c>
      <c r="IS89" s="183" t="n">
        <f aca="false">11.69*(1-0)</f>
        <v>11.69</v>
      </c>
    </row>
    <row r="90" customFormat="false" ht="15" hidden="false" customHeight="true" outlineLevel="0" collapsed="false">
      <c r="A90" s="182" t="n">
        <v>75</v>
      </c>
      <c r="B90" s="134" t="s">
        <v>109</v>
      </c>
      <c r="C90" s="134" t="s">
        <v>410</v>
      </c>
      <c r="D90" s="135" t="s">
        <v>411</v>
      </c>
      <c r="E90" s="135"/>
      <c r="F90" s="135"/>
      <c r="G90" s="135"/>
      <c r="H90" s="134" t="s">
        <v>189</v>
      </c>
      <c r="I90" s="137" t="n">
        <v>0.674</v>
      </c>
      <c r="J90" s="135"/>
      <c r="HV90" s="11" t="s">
        <v>222</v>
      </c>
      <c r="HW90" s="11" t="s">
        <v>159</v>
      </c>
      <c r="IR90" s="183" t="n">
        <f aca="false">208*0.292836538</f>
        <v>60.909999904</v>
      </c>
      <c r="IS90" s="183" t="n">
        <f aca="false">208*(1-0.292836538)</f>
        <v>147.090000096</v>
      </c>
    </row>
    <row r="91" customFormat="false" ht="15" hidden="false" customHeight="true" outlineLevel="0" collapsed="false">
      <c r="A91" s="182" t="n">
        <v>76</v>
      </c>
      <c r="B91" s="134" t="s">
        <v>109</v>
      </c>
      <c r="C91" s="134" t="s">
        <v>413</v>
      </c>
      <c r="D91" s="135" t="s">
        <v>414</v>
      </c>
      <c r="E91" s="135"/>
      <c r="F91" s="135"/>
      <c r="G91" s="135"/>
      <c r="H91" s="134" t="s">
        <v>189</v>
      </c>
      <c r="I91" s="137" t="n">
        <v>0.674</v>
      </c>
      <c r="J91" s="135"/>
      <c r="HV91" s="11" t="s">
        <v>222</v>
      </c>
      <c r="HW91" s="11" t="s">
        <v>159</v>
      </c>
      <c r="IR91" s="183" t="n">
        <f aca="false">960*0</f>
        <v>0</v>
      </c>
      <c r="IS91" s="183" t="n">
        <f aca="false">960*(1-0)</f>
        <v>960</v>
      </c>
    </row>
    <row r="92" customFormat="false" ht="15" hidden="false" customHeight="true" outlineLevel="0" collapsed="false">
      <c r="A92" s="184" t="n">
        <v>77</v>
      </c>
      <c r="B92" s="139" t="s">
        <v>109</v>
      </c>
      <c r="C92" s="139" t="s">
        <v>416</v>
      </c>
      <c r="D92" s="140" t="s">
        <v>417</v>
      </c>
      <c r="E92" s="140"/>
      <c r="F92" s="140"/>
      <c r="G92" s="135"/>
      <c r="H92" s="139" t="s">
        <v>202</v>
      </c>
      <c r="I92" s="142" t="n">
        <v>17</v>
      </c>
      <c r="J92" s="140"/>
      <c r="HV92" s="185" t="s">
        <v>222</v>
      </c>
      <c r="HW92" s="185" t="s">
        <v>180</v>
      </c>
      <c r="IR92" s="186" t="n">
        <f aca="false">85*1</f>
        <v>85</v>
      </c>
      <c r="IS92" s="186" t="n">
        <f aca="false">85*(1-1)</f>
        <v>0</v>
      </c>
    </row>
    <row r="93" customFormat="false" ht="15" hidden="false" customHeight="true" outlineLevel="0" collapsed="false">
      <c r="A93" s="184" t="n">
        <v>78</v>
      </c>
      <c r="B93" s="139" t="s">
        <v>109</v>
      </c>
      <c r="C93" s="139" t="s">
        <v>419</v>
      </c>
      <c r="D93" s="140" t="s">
        <v>420</v>
      </c>
      <c r="E93" s="140"/>
      <c r="F93" s="140"/>
      <c r="G93" s="135"/>
      <c r="H93" s="139" t="s">
        <v>202</v>
      </c>
      <c r="I93" s="142" t="n">
        <v>11</v>
      </c>
      <c r="J93" s="140"/>
      <c r="HV93" s="185" t="s">
        <v>222</v>
      </c>
      <c r="HW93" s="185" t="s">
        <v>180</v>
      </c>
      <c r="IR93" s="186" t="n">
        <f aca="false">65*1</f>
        <v>65</v>
      </c>
      <c r="IS93" s="186" t="n">
        <f aca="false">65*(1-1)</f>
        <v>0</v>
      </c>
    </row>
    <row r="94" customFormat="false" ht="15" hidden="false" customHeight="true" outlineLevel="0" collapsed="false">
      <c r="A94" s="184" t="n">
        <v>79</v>
      </c>
      <c r="B94" s="139" t="s">
        <v>109</v>
      </c>
      <c r="C94" s="139" t="s">
        <v>422</v>
      </c>
      <c r="D94" s="140" t="s">
        <v>423</v>
      </c>
      <c r="E94" s="140"/>
      <c r="F94" s="140"/>
      <c r="G94" s="135"/>
      <c r="H94" s="139" t="s">
        <v>202</v>
      </c>
      <c r="I94" s="142" t="n">
        <v>4</v>
      </c>
      <c r="J94" s="140"/>
      <c r="HV94" s="185" t="s">
        <v>222</v>
      </c>
      <c r="HW94" s="185" t="s">
        <v>180</v>
      </c>
      <c r="IR94" s="186" t="n">
        <f aca="false">65*1</f>
        <v>65</v>
      </c>
      <c r="IS94" s="186" t="n">
        <f aca="false">65*(1-1)</f>
        <v>0</v>
      </c>
    </row>
    <row r="95" customFormat="false" ht="15" hidden="false" customHeight="true" outlineLevel="0" collapsed="false">
      <c r="A95" s="184" t="n">
        <v>80</v>
      </c>
      <c r="B95" s="139" t="s">
        <v>109</v>
      </c>
      <c r="C95" s="139" t="s">
        <v>425</v>
      </c>
      <c r="D95" s="140" t="s">
        <v>426</v>
      </c>
      <c r="E95" s="140"/>
      <c r="F95" s="140"/>
      <c r="G95" s="135"/>
      <c r="H95" s="139" t="s">
        <v>202</v>
      </c>
      <c r="I95" s="142" t="n">
        <v>3</v>
      </c>
      <c r="J95" s="140"/>
      <c r="HV95" s="185" t="s">
        <v>222</v>
      </c>
      <c r="HW95" s="185" t="s">
        <v>180</v>
      </c>
      <c r="IR95" s="186" t="n">
        <f aca="false">65*1</f>
        <v>65</v>
      </c>
      <c r="IS95" s="186" t="n">
        <f aca="false">65*(1-1)</f>
        <v>0</v>
      </c>
    </row>
    <row r="96" customFormat="false" ht="15" hidden="false" customHeight="true" outlineLevel="0" collapsed="false">
      <c r="A96" s="184" t="n">
        <v>81</v>
      </c>
      <c r="B96" s="139" t="s">
        <v>109</v>
      </c>
      <c r="C96" s="139" t="s">
        <v>428</v>
      </c>
      <c r="D96" s="140" t="s">
        <v>429</v>
      </c>
      <c r="E96" s="140"/>
      <c r="F96" s="140"/>
      <c r="G96" s="135"/>
      <c r="H96" s="139" t="s">
        <v>202</v>
      </c>
      <c r="I96" s="142" t="n">
        <v>8</v>
      </c>
      <c r="J96" s="140"/>
      <c r="HV96" s="185" t="s">
        <v>222</v>
      </c>
      <c r="HW96" s="185" t="s">
        <v>180</v>
      </c>
      <c r="IR96" s="186" t="n">
        <f aca="false">65*1</f>
        <v>65</v>
      </c>
      <c r="IS96" s="186" t="n">
        <f aca="false">65*(1-1)</f>
        <v>0</v>
      </c>
    </row>
    <row r="97" customFormat="false" ht="15" hidden="false" customHeight="true" outlineLevel="0" collapsed="false">
      <c r="A97" s="184" t="n">
        <v>82</v>
      </c>
      <c r="B97" s="139" t="s">
        <v>109</v>
      </c>
      <c r="C97" s="139" t="s">
        <v>431</v>
      </c>
      <c r="D97" s="140" t="s">
        <v>432</v>
      </c>
      <c r="E97" s="140"/>
      <c r="F97" s="140"/>
      <c r="G97" s="135"/>
      <c r="H97" s="139" t="s">
        <v>202</v>
      </c>
      <c r="I97" s="142" t="n">
        <v>8</v>
      </c>
      <c r="J97" s="140"/>
      <c r="HV97" s="185" t="s">
        <v>222</v>
      </c>
      <c r="HW97" s="185" t="s">
        <v>180</v>
      </c>
      <c r="IR97" s="186" t="n">
        <f aca="false">65*1</f>
        <v>65</v>
      </c>
      <c r="IS97" s="186" t="n">
        <f aca="false">65*(1-1)</f>
        <v>0</v>
      </c>
    </row>
    <row r="98" customFormat="false" ht="15" hidden="false" customHeight="true" outlineLevel="0" collapsed="false">
      <c r="A98" s="184" t="n">
        <v>83</v>
      </c>
      <c r="B98" s="139" t="s">
        <v>109</v>
      </c>
      <c r="C98" s="139" t="s">
        <v>434</v>
      </c>
      <c r="D98" s="140" t="s">
        <v>435</v>
      </c>
      <c r="E98" s="140"/>
      <c r="F98" s="140"/>
      <c r="G98" s="135"/>
      <c r="H98" s="139" t="s">
        <v>202</v>
      </c>
      <c r="I98" s="142" t="n">
        <v>17</v>
      </c>
      <c r="J98" s="140"/>
      <c r="HV98" s="185" t="s">
        <v>222</v>
      </c>
      <c r="HW98" s="185" t="s">
        <v>180</v>
      </c>
      <c r="IR98" s="186" t="n">
        <f aca="false">65*1</f>
        <v>65</v>
      </c>
      <c r="IS98" s="186" t="n">
        <f aca="false">65*(1-1)</f>
        <v>0</v>
      </c>
    </row>
    <row r="99" customFormat="false" ht="15" hidden="false" customHeight="true" outlineLevel="0" collapsed="false">
      <c r="A99" s="184" t="n">
        <v>84</v>
      </c>
      <c r="B99" s="139" t="s">
        <v>109</v>
      </c>
      <c r="C99" s="139" t="s">
        <v>437</v>
      </c>
      <c r="D99" s="140" t="s">
        <v>438</v>
      </c>
      <c r="E99" s="140"/>
      <c r="F99" s="140"/>
      <c r="G99" s="135"/>
      <c r="H99" s="139" t="s">
        <v>202</v>
      </c>
      <c r="I99" s="142" t="n">
        <v>8</v>
      </c>
      <c r="J99" s="140"/>
      <c r="HV99" s="185" t="s">
        <v>222</v>
      </c>
      <c r="HW99" s="185" t="s">
        <v>180</v>
      </c>
      <c r="IR99" s="186" t="n">
        <f aca="false">65*1</f>
        <v>65</v>
      </c>
      <c r="IS99" s="186" t="n">
        <f aca="false">65*(1-1)</f>
        <v>0</v>
      </c>
    </row>
    <row r="100" customFormat="false" ht="15" hidden="false" customHeight="true" outlineLevel="0" collapsed="false">
      <c r="A100" s="184" t="n">
        <v>85</v>
      </c>
      <c r="B100" s="139" t="s">
        <v>109</v>
      </c>
      <c r="C100" s="139" t="s">
        <v>440</v>
      </c>
      <c r="D100" s="140" t="s">
        <v>441</v>
      </c>
      <c r="E100" s="140"/>
      <c r="F100" s="140"/>
      <c r="G100" s="135"/>
      <c r="H100" s="139" t="s">
        <v>202</v>
      </c>
      <c r="I100" s="142" t="n">
        <v>6</v>
      </c>
      <c r="J100" s="140"/>
      <c r="HV100" s="185" t="s">
        <v>222</v>
      </c>
      <c r="HW100" s="185" t="s">
        <v>180</v>
      </c>
      <c r="IR100" s="186" t="n">
        <f aca="false">85*1</f>
        <v>85</v>
      </c>
      <c r="IS100" s="186" t="n">
        <f aca="false">85*(1-1)</f>
        <v>0</v>
      </c>
    </row>
    <row r="101" customFormat="false" ht="15" hidden="false" customHeight="true" outlineLevel="0" collapsed="false">
      <c r="A101" s="184" t="n">
        <v>86</v>
      </c>
      <c r="B101" s="139" t="s">
        <v>109</v>
      </c>
      <c r="C101" s="139" t="s">
        <v>443</v>
      </c>
      <c r="D101" s="140" t="s">
        <v>444</v>
      </c>
      <c r="E101" s="140"/>
      <c r="F101" s="140"/>
      <c r="G101" s="135"/>
      <c r="H101" s="139" t="s">
        <v>202</v>
      </c>
      <c r="I101" s="142" t="n">
        <v>9</v>
      </c>
      <c r="J101" s="140"/>
      <c r="HV101" s="185" t="s">
        <v>222</v>
      </c>
      <c r="HW101" s="185" t="s">
        <v>180</v>
      </c>
      <c r="IR101" s="186" t="n">
        <f aca="false">85*1</f>
        <v>85</v>
      </c>
      <c r="IS101" s="186" t="n">
        <f aca="false">85*(1-1)</f>
        <v>0</v>
      </c>
    </row>
    <row r="102" customFormat="false" ht="15" hidden="false" customHeight="true" outlineLevel="0" collapsed="false">
      <c r="A102" s="184" t="n">
        <v>87</v>
      </c>
      <c r="B102" s="139" t="s">
        <v>109</v>
      </c>
      <c r="C102" s="139" t="s">
        <v>446</v>
      </c>
      <c r="D102" s="140" t="s">
        <v>447</v>
      </c>
      <c r="E102" s="140"/>
      <c r="F102" s="140"/>
      <c r="G102" s="135"/>
      <c r="H102" s="139" t="s">
        <v>202</v>
      </c>
      <c r="I102" s="142" t="n">
        <v>3</v>
      </c>
      <c r="J102" s="140"/>
      <c r="HV102" s="185" t="s">
        <v>222</v>
      </c>
      <c r="HW102" s="185" t="s">
        <v>180</v>
      </c>
      <c r="IR102" s="186" t="n">
        <f aca="false">85*1</f>
        <v>85</v>
      </c>
      <c r="IS102" s="186" t="n">
        <f aca="false">85*(1-1)</f>
        <v>0</v>
      </c>
    </row>
    <row r="103" customFormat="false" ht="15" hidden="false" customHeight="true" outlineLevel="0" collapsed="false">
      <c r="A103" s="184" t="n">
        <v>88</v>
      </c>
      <c r="B103" s="139" t="s">
        <v>109</v>
      </c>
      <c r="C103" s="139" t="s">
        <v>449</v>
      </c>
      <c r="D103" s="140" t="s">
        <v>450</v>
      </c>
      <c r="E103" s="140"/>
      <c r="F103" s="140"/>
      <c r="G103" s="135"/>
      <c r="H103" s="139" t="s">
        <v>202</v>
      </c>
      <c r="I103" s="142" t="n">
        <v>16</v>
      </c>
      <c r="J103" s="140"/>
      <c r="HV103" s="185" t="s">
        <v>222</v>
      </c>
      <c r="HW103" s="185" t="s">
        <v>180</v>
      </c>
      <c r="IR103" s="186" t="n">
        <f aca="false">85*1</f>
        <v>85</v>
      </c>
      <c r="IS103" s="186" t="n">
        <f aca="false">85*(1-1)</f>
        <v>0</v>
      </c>
    </row>
    <row r="104" customFormat="false" ht="15" hidden="false" customHeight="true" outlineLevel="0" collapsed="false">
      <c r="A104" s="184" t="n">
        <v>89</v>
      </c>
      <c r="B104" s="139" t="s">
        <v>109</v>
      </c>
      <c r="C104" s="139" t="s">
        <v>452</v>
      </c>
      <c r="D104" s="140" t="s">
        <v>453</v>
      </c>
      <c r="E104" s="140"/>
      <c r="F104" s="140"/>
      <c r="G104" s="135"/>
      <c r="H104" s="139" t="s">
        <v>202</v>
      </c>
      <c r="I104" s="142" t="n">
        <v>10</v>
      </c>
      <c r="J104" s="140"/>
      <c r="HV104" s="185" t="s">
        <v>222</v>
      </c>
      <c r="HW104" s="185" t="s">
        <v>180</v>
      </c>
      <c r="IR104" s="186" t="n">
        <f aca="false">85*1</f>
        <v>85</v>
      </c>
      <c r="IS104" s="186" t="n">
        <f aca="false">85*(1-1)</f>
        <v>0</v>
      </c>
    </row>
    <row r="105" customFormat="false" ht="15" hidden="false" customHeight="true" outlineLevel="0" collapsed="false">
      <c r="A105" s="184" t="n">
        <v>90</v>
      </c>
      <c r="B105" s="139" t="s">
        <v>109</v>
      </c>
      <c r="C105" s="139" t="s">
        <v>454</v>
      </c>
      <c r="D105" s="140" t="s">
        <v>455</v>
      </c>
      <c r="E105" s="140"/>
      <c r="F105" s="140"/>
      <c r="G105" s="135"/>
      <c r="H105" s="139" t="s">
        <v>202</v>
      </c>
      <c r="I105" s="142" t="n">
        <v>7</v>
      </c>
      <c r="J105" s="140"/>
      <c r="HV105" s="185" t="s">
        <v>222</v>
      </c>
      <c r="HW105" s="185" t="s">
        <v>180</v>
      </c>
      <c r="IR105" s="186" t="n">
        <f aca="false">85*1</f>
        <v>85</v>
      </c>
      <c r="IS105" s="186" t="n">
        <f aca="false">85*(1-1)</f>
        <v>0</v>
      </c>
    </row>
    <row r="106" customFormat="false" ht="15" hidden="false" customHeight="true" outlineLevel="0" collapsed="false">
      <c r="A106" s="184" t="n">
        <v>91</v>
      </c>
      <c r="B106" s="139" t="s">
        <v>109</v>
      </c>
      <c r="C106" s="139" t="s">
        <v>456</v>
      </c>
      <c r="D106" s="140" t="s">
        <v>457</v>
      </c>
      <c r="E106" s="140"/>
      <c r="F106" s="140"/>
      <c r="G106" s="135"/>
      <c r="H106" s="139" t="s">
        <v>202</v>
      </c>
      <c r="I106" s="142" t="n">
        <v>11</v>
      </c>
      <c r="J106" s="140"/>
      <c r="HV106" s="185" t="s">
        <v>222</v>
      </c>
      <c r="HW106" s="185" t="s">
        <v>180</v>
      </c>
      <c r="IR106" s="186" t="n">
        <f aca="false">85*1</f>
        <v>85</v>
      </c>
      <c r="IS106" s="186" t="n">
        <f aca="false">85*(1-1)</f>
        <v>0</v>
      </c>
    </row>
    <row r="107" customFormat="false" ht="15" hidden="false" customHeight="true" outlineLevel="0" collapsed="false">
      <c r="A107" s="184" t="n">
        <v>92</v>
      </c>
      <c r="B107" s="139" t="s">
        <v>109</v>
      </c>
      <c r="C107" s="139" t="s">
        <v>459</v>
      </c>
      <c r="D107" s="140" t="s">
        <v>460</v>
      </c>
      <c r="E107" s="140"/>
      <c r="F107" s="140"/>
      <c r="G107" s="135"/>
      <c r="H107" s="139" t="s">
        <v>202</v>
      </c>
      <c r="I107" s="142" t="n">
        <v>9</v>
      </c>
      <c r="J107" s="140"/>
      <c r="HV107" s="185" t="s">
        <v>222</v>
      </c>
      <c r="HW107" s="185" t="s">
        <v>180</v>
      </c>
      <c r="IR107" s="186" t="n">
        <f aca="false">85*1</f>
        <v>85</v>
      </c>
      <c r="IS107" s="186" t="n">
        <f aca="false">85*(1-1)</f>
        <v>0</v>
      </c>
    </row>
    <row r="108" customFormat="false" ht="15" hidden="false" customHeight="true" outlineLevel="0" collapsed="false">
      <c r="A108" s="184" t="n">
        <v>93</v>
      </c>
      <c r="B108" s="139" t="s">
        <v>109</v>
      </c>
      <c r="C108" s="139" t="s">
        <v>462</v>
      </c>
      <c r="D108" s="140" t="s">
        <v>463</v>
      </c>
      <c r="E108" s="140"/>
      <c r="F108" s="140"/>
      <c r="G108" s="135"/>
      <c r="H108" s="139" t="s">
        <v>202</v>
      </c>
      <c r="I108" s="142" t="n">
        <v>3</v>
      </c>
      <c r="J108" s="140"/>
      <c r="HV108" s="185" t="s">
        <v>222</v>
      </c>
      <c r="HW108" s="185" t="s">
        <v>180</v>
      </c>
      <c r="IR108" s="186" t="n">
        <f aca="false">85*1</f>
        <v>85</v>
      </c>
      <c r="IS108" s="186" t="n">
        <f aca="false">85*(1-1)</f>
        <v>0</v>
      </c>
    </row>
    <row r="109" customFormat="false" ht="15" hidden="false" customHeight="true" outlineLevel="0" collapsed="false">
      <c r="A109" s="184" t="n">
        <v>94</v>
      </c>
      <c r="B109" s="139" t="s">
        <v>109</v>
      </c>
      <c r="C109" s="139" t="s">
        <v>465</v>
      </c>
      <c r="D109" s="140" t="s">
        <v>466</v>
      </c>
      <c r="E109" s="140"/>
      <c r="F109" s="140"/>
      <c r="G109" s="135"/>
      <c r="H109" s="139" t="s">
        <v>202</v>
      </c>
      <c r="I109" s="142" t="n">
        <v>5</v>
      </c>
      <c r="J109" s="140"/>
      <c r="HV109" s="185" t="s">
        <v>222</v>
      </c>
      <c r="HW109" s="185" t="s">
        <v>180</v>
      </c>
      <c r="IR109" s="186" t="n">
        <f aca="false">85*1</f>
        <v>85</v>
      </c>
      <c r="IS109" s="186" t="n">
        <f aca="false">85*(1-1)</f>
        <v>0</v>
      </c>
    </row>
    <row r="110" customFormat="false" ht="15" hidden="false" customHeight="true" outlineLevel="0" collapsed="false">
      <c r="A110" s="184" t="n">
        <v>95</v>
      </c>
      <c r="B110" s="139" t="s">
        <v>109</v>
      </c>
      <c r="C110" s="139" t="s">
        <v>468</v>
      </c>
      <c r="D110" s="140" t="s">
        <v>469</v>
      </c>
      <c r="E110" s="140"/>
      <c r="F110" s="140"/>
      <c r="G110" s="135"/>
      <c r="H110" s="139" t="s">
        <v>202</v>
      </c>
      <c r="I110" s="142" t="n">
        <v>7</v>
      </c>
      <c r="J110" s="140"/>
      <c r="HV110" s="185" t="s">
        <v>222</v>
      </c>
      <c r="HW110" s="185" t="s">
        <v>180</v>
      </c>
      <c r="IR110" s="186" t="n">
        <f aca="false">85*1</f>
        <v>85</v>
      </c>
      <c r="IS110" s="186" t="n">
        <f aca="false">85*(1-1)</f>
        <v>0</v>
      </c>
    </row>
    <row r="111" customFormat="false" ht="15" hidden="false" customHeight="true" outlineLevel="0" collapsed="false">
      <c r="A111" s="184" t="n">
        <v>96</v>
      </c>
      <c r="B111" s="139" t="s">
        <v>109</v>
      </c>
      <c r="C111" s="139" t="s">
        <v>470</v>
      </c>
      <c r="D111" s="140" t="s">
        <v>435</v>
      </c>
      <c r="E111" s="140"/>
      <c r="F111" s="140"/>
      <c r="G111" s="135"/>
      <c r="H111" s="139" t="s">
        <v>202</v>
      </c>
      <c r="I111" s="142" t="n">
        <v>6</v>
      </c>
      <c r="J111" s="140"/>
      <c r="HV111" s="185" t="s">
        <v>222</v>
      </c>
      <c r="HW111" s="185" t="s">
        <v>180</v>
      </c>
      <c r="IR111" s="186" t="n">
        <f aca="false">85*1</f>
        <v>85</v>
      </c>
      <c r="IS111" s="186" t="n">
        <f aca="false">85*(1-1)</f>
        <v>0</v>
      </c>
    </row>
    <row r="112" customFormat="false" ht="24.05" hidden="false" customHeight="true" outlineLevel="0" collapsed="false">
      <c r="A112" s="182" t="n">
        <v>97</v>
      </c>
      <c r="B112" s="134" t="s">
        <v>109</v>
      </c>
      <c r="C112" s="134" t="s">
        <v>391</v>
      </c>
      <c r="D112" s="135" t="s">
        <v>471</v>
      </c>
      <c r="E112" s="135"/>
      <c r="F112" s="135"/>
      <c r="G112" s="135"/>
      <c r="H112" s="134" t="s">
        <v>202</v>
      </c>
      <c r="I112" s="137" t="n">
        <v>340</v>
      </c>
      <c r="J112" s="135"/>
      <c r="HV112" s="11" t="s">
        <v>222</v>
      </c>
      <c r="HW112" s="11" t="s">
        <v>159</v>
      </c>
      <c r="IR112" s="183" t="n">
        <f aca="false">13.2*0</f>
        <v>0</v>
      </c>
      <c r="IS112" s="183" t="n">
        <f aca="false">13.2*(1-0)</f>
        <v>13.2</v>
      </c>
    </row>
    <row r="113" customFormat="false" ht="15" hidden="false" customHeight="true" outlineLevel="0" collapsed="false">
      <c r="A113" s="182" t="n">
        <v>98</v>
      </c>
      <c r="B113" s="134" t="s">
        <v>109</v>
      </c>
      <c r="C113" s="134" t="s">
        <v>473</v>
      </c>
      <c r="D113" s="135" t="s">
        <v>474</v>
      </c>
      <c r="E113" s="135"/>
      <c r="F113" s="135"/>
      <c r="G113" s="135"/>
      <c r="H113" s="134" t="s">
        <v>202</v>
      </c>
      <c r="I113" s="137" t="n">
        <v>340</v>
      </c>
      <c r="J113" s="135"/>
      <c r="HV113" s="11" t="s">
        <v>222</v>
      </c>
      <c r="HW113" s="11" t="s">
        <v>159</v>
      </c>
      <c r="IR113" s="183" t="n">
        <f aca="false">7.5*0.016</f>
        <v>0.12</v>
      </c>
      <c r="IS113" s="183" t="n">
        <f aca="false">7.5*(1-0.016)</f>
        <v>7.38</v>
      </c>
    </row>
    <row r="114" customFormat="false" ht="15" hidden="false" customHeight="true" outlineLevel="0" collapsed="false">
      <c r="A114" s="184" t="n">
        <v>99</v>
      </c>
      <c r="B114" s="139" t="s">
        <v>109</v>
      </c>
      <c r="C114" s="139" t="s">
        <v>476</v>
      </c>
      <c r="D114" s="140" t="s">
        <v>477</v>
      </c>
      <c r="E114" s="140"/>
      <c r="F114" s="140"/>
      <c r="G114" s="135"/>
      <c r="H114" s="139" t="s">
        <v>202</v>
      </c>
      <c r="I114" s="142" t="n">
        <v>50</v>
      </c>
      <c r="J114" s="140"/>
      <c r="HV114" s="185" t="s">
        <v>222</v>
      </c>
      <c r="HW114" s="185" t="s">
        <v>180</v>
      </c>
      <c r="IR114" s="186" t="n">
        <f aca="false">25*1</f>
        <v>25</v>
      </c>
      <c r="IS114" s="186" t="n">
        <f aca="false">25*(1-1)</f>
        <v>0</v>
      </c>
    </row>
    <row r="115" customFormat="false" ht="15" hidden="false" customHeight="true" outlineLevel="0" collapsed="false">
      <c r="A115" s="184" t="n">
        <v>100</v>
      </c>
      <c r="B115" s="139" t="s">
        <v>109</v>
      </c>
      <c r="C115" s="139" t="s">
        <v>479</v>
      </c>
      <c r="D115" s="140" t="s">
        <v>480</v>
      </c>
      <c r="E115" s="140"/>
      <c r="F115" s="140"/>
      <c r="G115" s="135"/>
      <c r="H115" s="139" t="s">
        <v>202</v>
      </c>
      <c r="I115" s="142" t="n">
        <v>50</v>
      </c>
      <c r="J115" s="140"/>
      <c r="HV115" s="185" t="s">
        <v>222</v>
      </c>
      <c r="HW115" s="185" t="s">
        <v>180</v>
      </c>
      <c r="IR115" s="186" t="n">
        <f aca="false">25*1</f>
        <v>25</v>
      </c>
      <c r="IS115" s="186" t="n">
        <f aca="false">25*(1-1)</f>
        <v>0</v>
      </c>
    </row>
    <row r="116" customFormat="false" ht="15" hidden="false" customHeight="true" outlineLevel="0" collapsed="false">
      <c r="A116" s="184" t="n">
        <v>101</v>
      </c>
      <c r="B116" s="139" t="s">
        <v>109</v>
      </c>
      <c r="C116" s="139" t="s">
        <v>482</v>
      </c>
      <c r="D116" s="140" t="s">
        <v>483</v>
      </c>
      <c r="E116" s="140"/>
      <c r="F116" s="140"/>
      <c r="G116" s="135"/>
      <c r="H116" s="139" t="s">
        <v>202</v>
      </c>
      <c r="I116" s="142" t="n">
        <v>50</v>
      </c>
      <c r="J116" s="140"/>
      <c r="HV116" s="185" t="s">
        <v>222</v>
      </c>
      <c r="HW116" s="185" t="s">
        <v>180</v>
      </c>
      <c r="IR116" s="186" t="n">
        <f aca="false">12*1</f>
        <v>12</v>
      </c>
      <c r="IS116" s="186" t="n">
        <f aca="false">12*(1-1)</f>
        <v>0</v>
      </c>
    </row>
    <row r="117" customFormat="false" ht="15" hidden="false" customHeight="true" outlineLevel="0" collapsed="false">
      <c r="A117" s="184" t="n">
        <v>102</v>
      </c>
      <c r="B117" s="139" t="s">
        <v>109</v>
      </c>
      <c r="C117" s="139" t="s">
        <v>485</v>
      </c>
      <c r="D117" s="140" t="s">
        <v>486</v>
      </c>
      <c r="E117" s="140"/>
      <c r="F117" s="140"/>
      <c r="G117" s="135"/>
      <c r="H117" s="139" t="s">
        <v>202</v>
      </c>
      <c r="I117" s="142" t="n">
        <v>10</v>
      </c>
      <c r="J117" s="140"/>
      <c r="HV117" s="185" t="s">
        <v>222</v>
      </c>
      <c r="HW117" s="185" t="s">
        <v>180</v>
      </c>
      <c r="IR117" s="186" t="n">
        <f aca="false">12*1</f>
        <v>12</v>
      </c>
      <c r="IS117" s="186" t="n">
        <f aca="false">12*(1-1)</f>
        <v>0</v>
      </c>
    </row>
    <row r="118" customFormat="false" ht="15" hidden="false" customHeight="true" outlineLevel="0" collapsed="false">
      <c r="A118" s="184" t="n">
        <v>103</v>
      </c>
      <c r="B118" s="139" t="s">
        <v>109</v>
      </c>
      <c r="C118" s="139" t="s">
        <v>488</v>
      </c>
      <c r="D118" s="140" t="s">
        <v>489</v>
      </c>
      <c r="E118" s="140"/>
      <c r="F118" s="140"/>
      <c r="G118" s="135"/>
      <c r="H118" s="139" t="s">
        <v>202</v>
      </c>
      <c r="I118" s="142" t="n">
        <v>50</v>
      </c>
      <c r="J118" s="140"/>
      <c r="HV118" s="185" t="s">
        <v>222</v>
      </c>
      <c r="HW118" s="185" t="s">
        <v>180</v>
      </c>
      <c r="IR118" s="186" t="n">
        <f aca="false">25*1</f>
        <v>25</v>
      </c>
      <c r="IS118" s="186" t="n">
        <f aca="false">25*(1-1)</f>
        <v>0</v>
      </c>
    </row>
    <row r="119" customFormat="false" ht="15" hidden="false" customHeight="true" outlineLevel="0" collapsed="false">
      <c r="A119" s="184" t="n">
        <v>104</v>
      </c>
      <c r="B119" s="139" t="s">
        <v>109</v>
      </c>
      <c r="C119" s="139" t="s">
        <v>491</v>
      </c>
      <c r="D119" s="140" t="s">
        <v>492</v>
      </c>
      <c r="E119" s="140"/>
      <c r="F119" s="140"/>
      <c r="G119" s="135"/>
      <c r="H119" s="139" t="s">
        <v>202</v>
      </c>
      <c r="I119" s="142" t="n">
        <v>30</v>
      </c>
      <c r="J119" s="140"/>
      <c r="HV119" s="185" t="s">
        <v>222</v>
      </c>
      <c r="HW119" s="185" t="s">
        <v>180</v>
      </c>
      <c r="IR119" s="186" t="n">
        <f aca="false">45*1</f>
        <v>45</v>
      </c>
      <c r="IS119" s="186" t="n">
        <f aca="false">45*(1-1)</f>
        <v>0</v>
      </c>
    </row>
    <row r="120" customFormat="false" ht="15" hidden="false" customHeight="true" outlineLevel="0" collapsed="false">
      <c r="A120" s="184" t="n">
        <v>105</v>
      </c>
      <c r="B120" s="139" t="s">
        <v>109</v>
      </c>
      <c r="C120" s="139" t="s">
        <v>494</v>
      </c>
      <c r="D120" s="140" t="s">
        <v>480</v>
      </c>
      <c r="E120" s="140"/>
      <c r="F120" s="140"/>
      <c r="G120" s="135"/>
      <c r="H120" s="139" t="s">
        <v>202</v>
      </c>
      <c r="I120" s="142" t="n">
        <v>50</v>
      </c>
      <c r="J120" s="140"/>
      <c r="HV120" s="185" t="s">
        <v>222</v>
      </c>
      <c r="HW120" s="185" t="s">
        <v>180</v>
      </c>
      <c r="IR120" s="186" t="n">
        <f aca="false">25*1</f>
        <v>25</v>
      </c>
      <c r="IS120" s="186" t="n">
        <f aca="false">25*(1-1)</f>
        <v>0</v>
      </c>
    </row>
    <row r="121" customFormat="false" ht="15" hidden="false" customHeight="true" outlineLevel="0" collapsed="false">
      <c r="A121" s="184" t="n">
        <v>106</v>
      </c>
      <c r="B121" s="139" t="s">
        <v>109</v>
      </c>
      <c r="C121" s="139" t="s">
        <v>496</v>
      </c>
      <c r="D121" s="140" t="s">
        <v>497</v>
      </c>
      <c r="E121" s="140"/>
      <c r="F121" s="140"/>
      <c r="G121" s="135"/>
      <c r="H121" s="139" t="s">
        <v>202</v>
      </c>
      <c r="I121" s="142" t="n">
        <v>50</v>
      </c>
      <c r="J121" s="140"/>
      <c r="HV121" s="185" t="s">
        <v>222</v>
      </c>
      <c r="HW121" s="185" t="s">
        <v>180</v>
      </c>
      <c r="IR121" s="186" t="n">
        <f aca="false">12*1</f>
        <v>12</v>
      </c>
      <c r="IS121" s="186" t="n">
        <f aca="false">12*(1-1)</f>
        <v>0</v>
      </c>
    </row>
    <row r="122" customFormat="false" ht="15" hidden="false" customHeight="true" outlineLevel="0" collapsed="false">
      <c r="A122" s="182" t="n">
        <v>107</v>
      </c>
      <c r="B122" s="134" t="s">
        <v>109</v>
      </c>
      <c r="C122" s="134" t="s">
        <v>499</v>
      </c>
      <c r="D122" s="135" t="s">
        <v>500</v>
      </c>
      <c r="E122" s="135"/>
      <c r="F122" s="135"/>
      <c r="G122" s="135"/>
      <c r="H122" s="134" t="s">
        <v>169</v>
      </c>
      <c r="I122" s="137" t="n">
        <v>9.8</v>
      </c>
      <c r="J122" s="135"/>
      <c r="HV122" s="11" t="s">
        <v>222</v>
      </c>
      <c r="HW122" s="11" t="s">
        <v>159</v>
      </c>
      <c r="IR122" s="183" t="n">
        <f aca="false">36.49*0.066867635</f>
        <v>2.44000000115</v>
      </c>
      <c r="IS122" s="183" t="n">
        <f aca="false">36.49*(1-0.066867635)</f>
        <v>34.04999999885</v>
      </c>
    </row>
    <row r="123" customFormat="false" ht="15" hidden="false" customHeight="true" outlineLevel="0" collapsed="false">
      <c r="A123" s="184" t="n">
        <v>108</v>
      </c>
      <c r="B123" s="139" t="s">
        <v>109</v>
      </c>
      <c r="C123" s="139" t="s">
        <v>502</v>
      </c>
      <c r="D123" s="140" t="s">
        <v>503</v>
      </c>
      <c r="E123" s="140"/>
      <c r="F123" s="140"/>
      <c r="G123" s="135"/>
      <c r="H123" s="139" t="s">
        <v>325</v>
      </c>
      <c r="I123" s="142" t="n">
        <v>0.294</v>
      </c>
      <c r="J123" s="140"/>
      <c r="HV123" s="185" t="s">
        <v>222</v>
      </c>
      <c r="HW123" s="185" t="s">
        <v>180</v>
      </c>
      <c r="IR123" s="186" t="n">
        <f aca="false">165.5*1</f>
        <v>165.5</v>
      </c>
      <c r="IS123" s="186" t="n">
        <f aca="false">165.5*(1-1)</f>
        <v>0</v>
      </c>
    </row>
    <row r="124" customFormat="false" ht="15" hidden="false" customHeight="true" outlineLevel="0" collapsed="false">
      <c r="A124" s="182" t="n">
        <v>109</v>
      </c>
      <c r="B124" s="134" t="s">
        <v>109</v>
      </c>
      <c r="C124" s="134" t="s">
        <v>505</v>
      </c>
      <c r="D124" s="135" t="s">
        <v>506</v>
      </c>
      <c r="E124" s="135"/>
      <c r="F124" s="135"/>
      <c r="G124" s="135"/>
      <c r="H124" s="134" t="s">
        <v>169</v>
      </c>
      <c r="I124" s="137" t="n">
        <v>9.8</v>
      </c>
      <c r="J124" s="135"/>
      <c r="HV124" s="11" t="s">
        <v>222</v>
      </c>
      <c r="HW124" s="11" t="s">
        <v>159</v>
      </c>
      <c r="IR124" s="183" t="n">
        <f aca="false">1.39*0</f>
        <v>0</v>
      </c>
      <c r="IS124" s="183" t="n">
        <f aca="false">1.39*(1-0)</f>
        <v>1.39</v>
      </c>
    </row>
    <row r="125" customFormat="false" ht="15" hidden="false" customHeight="true" outlineLevel="0" collapsed="false">
      <c r="A125" s="182" t="n">
        <v>110</v>
      </c>
      <c r="B125" s="134" t="s">
        <v>109</v>
      </c>
      <c r="C125" s="134" t="s">
        <v>508</v>
      </c>
      <c r="D125" s="135" t="s">
        <v>509</v>
      </c>
      <c r="E125" s="135"/>
      <c r="F125" s="135"/>
      <c r="G125" s="135"/>
      <c r="H125" s="134" t="s">
        <v>169</v>
      </c>
      <c r="I125" s="137" t="n">
        <v>9.8</v>
      </c>
      <c r="J125" s="135"/>
      <c r="HV125" s="11" t="s">
        <v>222</v>
      </c>
      <c r="HW125" s="11" t="s">
        <v>159</v>
      </c>
      <c r="IR125" s="183" t="n">
        <f aca="false">7.9*0</f>
        <v>0</v>
      </c>
      <c r="IS125" s="183" t="n">
        <f aca="false">7.9*(1-0)</f>
        <v>7.9</v>
      </c>
    </row>
    <row r="126" customFormat="false" ht="15" hidden="false" customHeight="true" outlineLevel="0" collapsed="false">
      <c r="A126" s="182" t="n">
        <v>111</v>
      </c>
      <c r="B126" s="134" t="s">
        <v>109</v>
      </c>
      <c r="C126" s="134" t="s">
        <v>511</v>
      </c>
      <c r="D126" s="135" t="s">
        <v>512</v>
      </c>
      <c r="E126" s="135"/>
      <c r="F126" s="135"/>
      <c r="G126" s="135"/>
      <c r="H126" s="134" t="s">
        <v>169</v>
      </c>
      <c r="I126" s="137" t="n">
        <v>9.8</v>
      </c>
      <c r="J126" s="135"/>
      <c r="HV126" s="11" t="s">
        <v>222</v>
      </c>
      <c r="HW126" s="11" t="s">
        <v>159</v>
      </c>
      <c r="IR126" s="183" t="n">
        <f aca="false">0.99*0</f>
        <v>0</v>
      </c>
      <c r="IS126" s="183" t="n">
        <f aca="false">0.99*(1-0)</f>
        <v>0.99</v>
      </c>
    </row>
    <row r="127" customFormat="false" ht="24.05" hidden="false" customHeight="true" outlineLevel="0" collapsed="false">
      <c r="A127" s="182" t="n">
        <v>112</v>
      </c>
      <c r="B127" s="134" t="s">
        <v>109</v>
      </c>
      <c r="C127" s="134" t="s">
        <v>365</v>
      </c>
      <c r="D127" s="135" t="s">
        <v>366</v>
      </c>
      <c r="E127" s="135"/>
      <c r="F127" s="135"/>
      <c r="G127" s="135"/>
      <c r="H127" s="134" t="s">
        <v>169</v>
      </c>
      <c r="I127" s="137" t="n">
        <v>19.6</v>
      </c>
      <c r="J127" s="135"/>
      <c r="HV127" s="11" t="s">
        <v>222</v>
      </c>
      <c r="HW127" s="11" t="s">
        <v>159</v>
      </c>
      <c r="IR127" s="183" t="n">
        <f aca="false">6.91*0.00723589</f>
        <v>0.0499999999</v>
      </c>
      <c r="IS127" s="183" t="n">
        <f aca="false">6.91*(1-0.00723589)</f>
        <v>6.8600000001</v>
      </c>
    </row>
    <row r="128" customFormat="false" ht="15" hidden="false" customHeight="true" outlineLevel="0" collapsed="false">
      <c r="A128" s="184" t="n">
        <v>113</v>
      </c>
      <c r="B128" s="139" t="s">
        <v>109</v>
      </c>
      <c r="C128" s="139" t="s">
        <v>370</v>
      </c>
      <c r="D128" s="140" t="s">
        <v>371</v>
      </c>
      <c r="E128" s="140"/>
      <c r="F128" s="140"/>
      <c r="G128" s="135"/>
      <c r="H128" s="139" t="s">
        <v>372</v>
      </c>
      <c r="I128" s="142" t="n">
        <v>0.001</v>
      </c>
      <c r="J128" s="140"/>
      <c r="HV128" s="185" t="s">
        <v>222</v>
      </c>
      <c r="HW128" s="185" t="s">
        <v>180</v>
      </c>
      <c r="IR128" s="186" t="n">
        <f aca="false">502*1</f>
        <v>502</v>
      </c>
      <c r="IS128" s="186" t="n">
        <f aca="false">502*(1-1)</f>
        <v>0</v>
      </c>
    </row>
    <row r="129" customFormat="false" ht="15" hidden="false" customHeight="true" outlineLevel="0" collapsed="false">
      <c r="A129" s="182" t="n">
        <v>114</v>
      </c>
      <c r="B129" s="134" t="s">
        <v>109</v>
      </c>
      <c r="C129" s="134" t="s">
        <v>410</v>
      </c>
      <c r="D129" s="135" t="s">
        <v>411</v>
      </c>
      <c r="E129" s="135"/>
      <c r="F129" s="135"/>
      <c r="G129" s="135"/>
      <c r="H129" s="134" t="s">
        <v>189</v>
      </c>
      <c r="I129" s="137" t="n">
        <v>0.196</v>
      </c>
      <c r="J129" s="135"/>
      <c r="HV129" s="11" t="s">
        <v>222</v>
      </c>
      <c r="HW129" s="11" t="s">
        <v>159</v>
      </c>
      <c r="IR129" s="183" t="n">
        <f aca="false">208*0.292836538</f>
        <v>60.909999904</v>
      </c>
      <c r="IS129" s="183" t="n">
        <f aca="false">208*(1-0.292836538)</f>
        <v>147.090000096</v>
      </c>
    </row>
    <row r="130" customFormat="false" ht="15" hidden="false" customHeight="true" outlineLevel="0" collapsed="false">
      <c r="A130" s="182" t="n">
        <v>115</v>
      </c>
      <c r="B130" s="134" t="s">
        <v>109</v>
      </c>
      <c r="C130" s="134" t="s">
        <v>413</v>
      </c>
      <c r="D130" s="135" t="s">
        <v>414</v>
      </c>
      <c r="E130" s="135"/>
      <c r="F130" s="135"/>
      <c r="G130" s="135"/>
      <c r="H130" s="134" t="s">
        <v>189</v>
      </c>
      <c r="I130" s="137" t="n">
        <v>0.196</v>
      </c>
      <c r="J130" s="135"/>
      <c r="HV130" s="11" t="s">
        <v>222</v>
      </c>
      <c r="HW130" s="11" t="s">
        <v>159</v>
      </c>
      <c r="IR130" s="183" t="n">
        <f aca="false">960*0</f>
        <v>0</v>
      </c>
      <c r="IS130" s="183" t="n">
        <f aca="false">960*(1-0)</f>
        <v>960</v>
      </c>
    </row>
    <row r="131" customFormat="false" ht="15" hidden="false" customHeight="true" outlineLevel="0" collapsed="false">
      <c r="A131" s="182" t="n">
        <v>116</v>
      </c>
      <c r="B131" s="134" t="s">
        <v>109</v>
      </c>
      <c r="C131" s="134" t="s">
        <v>518</v>
      </c>
      <c r="D131" s="135" t="s">
        <v>519</v>
      </c>
      <c r="E131" s="135"/>
      <c r="F131" s="135"/>
      <c r="G131" s="135"/>
      <c r="H131" s="134" t="s">
        <v>169</v>
      </c>
      <c r="I131" s="137" t="n">
        <v>9.8</v>
      </c>
      <c r="J131" s="135"/>
      <c r="HV131" s="11" t="s">
        <v>222</v>
      </c>
      <c r="HW131" s="11" t="s">
        <v>159</v>
      </c>
      <c r="IR131" s="183" t="n">
        <f aca="false">225.49*0</f>
        <v>0</v>
      </c>
      <c r="IS131" s="183" t="n">
        <f aca="false">225.49*(1-0)</f>
        <v>225.49</v>
      </c>
    </row>
    <row r="132" customFormat="false" ht="24.05" hidden="false" customHeight="true" outlineLevel="0" collapsed="false">
      <c r="A132" s="184" t="n">
        <v>117</v>
      </c>
      <c r="B132" s="139" t="s">
        <v>109</v>
      </c>
      <c r="C132" s="139" t="s">
        <v>521</v>
      </c>
      <c r="D132" s="140" t="s">
        <v>522</v>
      </c>
      <c r="E132" s="140"/>
      <c r="F132" s="140"/>
      <c r="G132" s="135"/>
      <c r="H132" s="139" t="s">
        <v>179</v>
      </c>
      <c r="I132" s="142" t="n">
        <v>1.725</v>
      </c>
      <c r="J132" s="140"/>
      <c r="HV132" s="185" t="s">
        <v>222</v>
      </c>
      <c r="HW132" s="185" t="s">
        <v>180</v>
      </c>
      <c r="IR132" s="186" t="n">
        <f aca="false">738*1</f>
        <v>738</v>
      </c>
      <c r="IS132" s="186" t="n">
        <f aca="false">738*(1-1)</f>
        <v>0</v>
      </c>
    </row>
    <row r="133" customFormat="false" ht="15" hidden="false" customHeight="true" outlineLevel="0" collapsed="false">
      <c r="A133" s="182" t="n">
        <v>118</v>
      </c>
      <c r="B133" s="134" t="s">
        <v>109</v>
      </c>
      <c r="C133" s="134" t="s">
        <v>524</v>
      </c>
      <c r="D133" s="135" t="s">
        <v>525</v>
      </c>
      <c r="E133" s="135"/>
      <c r="F133" s="135"/>
      <c r="G133" s="135"/>
      <c r="H133" s="134" t="s">
        <v>179</v>
      </c>
      <c r="I133" s="137" t="n">
        <v>6.919</v>
      </c>
      <c r="J133" s="135"/>
      <c r="HV133" s="11" t="s">
        <v>222</v>
      </c>
      <c r="HW133" s="11" t="s">
        <v>159</v>
      </c>
      <c r="IR133" s="183" t="n">
        <f aca="false">1528*0</f>
        <v>0</v>
      </c>
      <c r="IS133" s="183" t="n">
        <f aca="false">1528*(1-0)</f>
        <v>1528</v>
      </c>
    </row>
    <row r="134" customFormat="false" ht="15" hidden="false" customHeight="true" outlineLevel="0" collapsed="false">
      <c r="A134" s="129" t="s">
        <v>97</v>
      </c>
      <c r="B134" s="129" t="s">
        <v>109</v>
      </c>
      <c r="C134" s="129" t="s">
        <v>526</v>
      </c>
      <c r="D134" s="130" t="s">
        <v>527</v>
      </c>
      <c r="E134" s="130"/>
      <c r="F134" s="130"/>
      <c r="G134" s="129" t="s">
        <v>97</v>
      </c>
      <c r="H134" s="129" t="s">
        <v>97</v>
      </c>
      <c r="I134" s="133" t="s">
        <v>97</v>
      </c>
      <c r="J134" s="129" t="s">
        <v>97</v>
      </c>
    </row>
    <row r="135" customFormat="false" ht="15" hidden="false" customHeight="true" outlineLevel="0" collapsed="false">
      <c r="A135" s="182" t="n">
        <v>119</v>
      </c>
      <c r="B135" s="134" t="s">
        <v>109</v>
      </c>
      <c r="C135" s="134" t="s">
        <v>410</v>
      </c>
      <c r="D135" s="135" t="s">
        <v>529</v>
      </c>
      <c r="E135" s="135"/>
      <c r="F135" s="135"/>
      <c r="G135" s="135"/>
      <c r="H135" s="134" t="s">
        <v>189</v>
      </c>
      <c r="I135" s="137" t="n">
        <v>3.37</v>
      </c>
      <c r="J135" s="135"/>
      <c r="HV135" s="11" t="s">
        <v>526</v>
      </c>
      <c r="HW135" s="11" t="s">
        <v>159</v>
      </c>
      <c r="IR135" s="183" t="n">
        <f aca="false">208*0.292836538</f>
        <v>60.909999904</v>
      </c>
      <c r="IS135" s="183" t="n">
        <f aca="false">208*(1-0.292836538)</f>
        <v>147.090000096</v>
      </c>
    </row>
    <row r="136" customFormat="false" ht="24.05" hidden="false" customHeight="true" outlineLevel="0" collapsed="false">
      <c r="A136" s="182" t="n">
        <v>120</v>
      </c>
      <c r="B136" s="134" t="s">
        <v>109</v>
      </c>
      <c r="C136" s="134" t="s">
        <v>410</v>
      </c>
      <c r="D136" s="135" t="s">
        <v>532</v>
      </c>
      <c r="E136" s="135"/>
      <c r="F136" s="135"/>
      <c r="G136" s="135"/>
      <c r="H136" s="134" t="s">
        <v>189</v>
      </c>
      <c r="I136" s="137" t="n">
        <v>3.528</v>
      </c>
      <c r="J136" s="135"/>
      <c r="HV136" s="11" t="s">
        <v>526</v>
      </c>
      <c r="HW136" s="11" t="s">
        <v>159</v>
      </c>
      <c r="IR136" s="183" t="n">
        <f aca="false">208*0.292836538</f>
        <v>60.909999904</v>
      </c>
      <c r="IS136" s="183" t="n">
        <f aca="false">208*(1-0.292836538)</f>
        <v>147.090000096</v>
      </c>
    </row>
    <row r="137" customFormat="false" ht="15" hidden="false" customHeight="true" outlineLevel="0" collapsed="false">
      <c r="A137" s="182" t="n">
        <v>121</v>
      </c>
      <c r="B137" s="134" t="s">
        <v>109</v>
      </c>
      <c r="C137" s="134" t="s">
        <v>413</v>
      </c>
      <c r="D137" s="135" t="s">
        <v>534</v>
      </c>
      <c r="E137" s="135"/>
      <c r="F137" s="135"/>
      <c r="G137" s="135"/>
      <c r="H137" s="134" t="s">
        <v>189</v>
      </c>
      <c r="I137" s="137" t="n">
        <v>6.898</v>
      </c>
      <c r="J137" s="135"/>
      <c r="HV137" s="11" t="s">
        <v>526</v>
      </c>
      <c r="HW137" s="11" t="s">
        <v>159</v>
      </c>
      <c r="IR137" s="183" t="n">
        <f aca="false">960*0</f>
        <v>0</v>
      </c>
      <c r="IS137" s="183" t="n">
        <f aca="false">960*(1-0)</f>
        <v>960</v>
      </c>
    </row>
    <row r="138" customFormat="false" ht="24.05" hidden="false" customHeight="true" outlineLevel="0" collapsed="false">
      <c r="A138" s="182" t="n">
        <v>122</v>
      </c>
      <c r="B138" s="134" t="s">
        <v>109</v>
      </c>
      <c r="C138" s="134" t="s">
        <v>536</v>
      </c>
      <c r="D138" s="135" t="s">
        <v>537</v>
      </c>
      <c r="E138" s="135"/>
      <c r="F138" s="135"/>
      <c r="G138" s="135"/>
      <c r="H138" s="134" t="s">
        <v>169</v>
      </c>
      <c r="I138" s="137" t="n">
        <v>67.4</v>
      </c>
      <c r="J138" s="135"/>
      <c r="HV138" s="11" t="s">
        <v>526</v>
      </c>
      <c r="HW138" s="11" t="s">
        <v>159</v>
      </c>
      <c r="IR138" s="183" t="n">
        <f aca="false">66.5*0</f>
        <v>0</v>
      </c>
      <c r="IS138" s="183" t="n">
        <f aca="false">66.5*(1-0)</f>
        <v>66.5</v>
      </c>
    </row>
    <row r="139" customFormat="false" ht="15" hidden="false" customHeight="true" outlineLevel="0" collapsed="false">
      <c r="A139" s="182" t="n">
        <v>123</v>
      </c>
      <c r="B139" s="134" t="s">
        <v>109</v>
      </c>
      <c r="C139" s="134" t="s">
        <v>539</v>
      </c>
      <c r="D139" s="135" t="s">
        <v>540</v>
      </c>
      <c r="E139" s="135"/>
      <c r="F139" s="135"/>
      <c r="G139" s="135"/>
      <c r="H139" s="134" t="s">
        <v>169</v>
      </c>
      <c r="I139" s="137" t="n">
        <v>67.4</v>
      </c>
      <c r="J139" s="135"/>
      <c r="HV139" s="11" t="s">
        <v>526</v>
      </c>
      <c r="HW139" s="11" t="s">
        <v>159</v>
      </c>
      <c r="IR139" s="183" t="n">
        <f aca="false">98*0</f>
        <v>0</v>
      </c>
      <c r="IS139" s="183" t="n">
        <f aca="false">98*(1-0)</f>
        <v>98</v>
      </c>
    </row>
    <row r="140" customFormat="false" ht="24.05" hidden="false" customHeight="true" outlineLevel="0" collapsed="false">
      <c r="A140" s="182" t="n">
        <v>124</v>
      </c>
      <c r="B140" s="134" t="s">
        <v>109</v>
      </c>
      <c r="C140" s="134" t="s">
        <v>542</v>
      </c>
      <c r="D140" s="135" t="s">
        <v>543</v>
      </c>
      <c r="E140" s="135"/>
      <c r="F140" s="135"/>
      <c r="G140" s="135"/>
      <c r="H140" s="134" t="s">
        <v>169</v>
      </c>
      <c r="I140" s="137" t="n">
        <v>67.4</v>
      </c>
      <c r="J140" s="135"/>
      <c r="HV140" s="11" t="s">
        <v>526</v>
      </c>
      <c r="HW140" s="11" t="s">
        <v>159</v>
      </c>
      <c r="IR140" s="183" t="n">
        <f aca="false">24.8*0</f>
        <v>0</v>
      </c>
      <c r="IS140" s="183" t="n">
        <f aca="false">24.8*(1-0)</f>
        <v>24.8</v>
      </c>
    </row>
    <row r="141" customFormat="false" ht="24.05" hidden="false" customHeight="true" outlineLevel="0" collapsed="false">
      <c r="A141" s="182" t="n">
        <v>125</v>
      </c>
      <c r="B141" s="134" t="s">
        <v>109</v>
      </c>
      <c r="C141" s="134" t="s">
        <v>545</v>
      </c>
      <c r="D141" s="135" t="s">
        <v>546</v>
      </c>
      <c r="E141" s="135"/>
      <c r="F141" s="135"/>
      <c r="G141" s="135"/>
      <c r="H141" s="134" t="s">
        <v>547</v>
      </c>
      <c r="I141" s="137" t="n">
        <v>0.005</v>
      </c>
      <c r="J141" s="135"/>
      <c r="HV141" s="11" t="s">
        <v>526</v>
      </c>
      <c r="HW141" s="11" t="s">
        <v>159</v>
      </c>
      <c r="IR141" s="183" t="n">
        <f aca="false">4594.99*0</f>
        <v>0</v>
      </c>
      <c r="IS141" s="183" t="n">
        <f aca="false">4594.99*(1-0)</f>
        <v>4594.99</v>
      </c>
    </row>
    <row r="142" customFormat="false" ht="15" hidden="false" customHeight="true" outlineLevel="0" collapsed="false">
      <c r="A142" s="129" t="s">
        <v>97</v>
      </c>
      <c r="B142" s="129" t="s">
        <v>111</v>
      </c>
      <c r="C142" s="129"/>
      <c r="D142" s="130" t="s">
        <v>112</v>
      </c>
      <c r="E142" s="130"/>
      <c r="F142" s="130"/>
      <c r="G142" s="129" t="s">
        <v>97</v>
      </c>
      <c r="H142" s="129" t="s">
        <v>97</v>
      </c>
      <c r="I142" s="133" t="s">
        <v>97</v>
      </c>
      <c r="J142" s="129" t="s">
        <v>97</v>
      </c>
    </row>
    <row r="143" customFormat="false" ht="15" hidden="false" customHeight="true" outlineLevel="0" collapsed="false">
      <c r="A143" s="129" t="s">
        <v>97</v>
      </c>
      <c r="B143" s="129" t="s">
        <v>111</v>
      </c>
      <c r="C143" s="129" t="s">
        <v>206</v>
      </c>
      <c r="D143" s="130" t="s">
        <v>234</v>
      </c>
      <c r="E143" s="130"/>
      <c r="F143" s="130"/>
      <c r="G143" s="129" t="s">
        <v>97</v>
      </c>
      <c r="H143" s="129" t="s">
        <v>97</v>
      </c>
      <c r="I143" s="133" t="s">
        <v>97</v>
      </c>
      <c r="J143" s="129" t="s">
        <v>97</v>
      </c>
    </row>
    <row r="144" customFormat="false" ht="81.2" hidden="false" customHeight="true" outlineLevel="0" collapsed="false">
      <c r="A144" s="182" t="n">
        <v>126</v>
      </c>
      <c r="B144" s="134" t="s">
        <v>111</v>
      </c>
      <c r="C144" s="134" t="s">
        <v>549</v>
      </c>
      <c r="D144" s="135" t="s">
        <v>550</v>
      </c>
      <c r="E144" s="135"/>
      <c r="F144" s="135"/>
      <c r="G144" s="135" t="s">
        <v>771</v>
      </c>
      <c r="H144" s="134" t="s">
        <v>189</v>
      </c>
      <c r="I144" s="137" t="n">
        <v>1.318</v>
      </c>
      <c r="J144" s="135"/>
      <c r="HV144" s="11" t="s">
        <v>206</v>
      </c>
      <c r="HW144" s="11" t="s">
        <v>159</v>
      </c>
      <c r="IR144" s="183" t="n">
        <f aca="false">2105*0</f>
        <v>0</v>
      </c>
      <c r="IS144" s="183" t="n">
        <f aca="false">2105*(1-0)</f>
        <v>2105</v>
      </c>
    </row>
    <row r="145" customFormat="false" ht="15" hidden="false" customHeight="true" outlineLevel="0" collapsed="false">
      <c r="A145" s="182" t="n">
        <v>127</v>
      </c>
      <c r="B145" s="134" t="s">
        <v>111</v>
      </c>
      <c r="C145" s="134" t="s">
        <v>554</v>
      </c>
      <c r="D145" s="135" t="s">
        <v>555</v>
      </c>
      <c r="E145" s="135"/>
      <c r="F145" s="135"/>
      <c r="G145" s="135"/>
      <c r="H145" s="134" t="s">
        <v>189</v>
      </c>
      <c r="I145" s="137" t="n">
        <v>1.318</v>
      </c>
      <c r="J145" s="135"/>
      <c r="HV145" s="11" t="s">
        <v>206</v>
      </c>
      <c r="HW145" s="11" t="s">
        <v>159</v>
      </c>
      <c r="IR145" s="183" t="n">
        <f aca="false">297.5*0</f>
        <v>0</v>
      </c>
      <c r="IS145" s="183" t="n">
        <f aca="false">297.5*(1-0)</f>
        <v>297.5</v>
      </c>
    </row>
    <row r="146" customFormat="false" ht="15" hidden="false" customHeight="true" outlineLevel="0" collapsed="false">
      <c r="A146" s="129" t="s">
        <v>97</v>
      </c>
      <c r="B146" s="129" t="s">
        <v>111</v>
      </c>
      <c r="C146" s="129" t="s">
        <v>216</v>
      </c>
      <c r="D146" s="130" t="s">
        <v>556</v>
      </c>
      <c r="E146" s="130"/>
      <c r="F146" s="130"/>
      <c r="G146" s="129" t="s">
        <v>97</v>
      </c>
      <c r="H146" s="129" t="s">
        <v>97</v>
      </c>
      <c r="I146" s="133" t="s">
        <v>97</v>
      </c>
      <c r="J146" s="129" t="s">
        <v>97</v>
      </c>
    </row>
    <row r="147" customFormat="false" ht="15" hidden="false" customHeight="true" outlineLevel="0" collapsed="false">
      <c r="A147" s="182" t="n">
        <v>128</v>
      </c>
      <c r="B147" s="134" t="s">
        <v>111</v>
      </c>
      <c r="C147" s="134" t="s">
        <v>263</v>
      </c>
      <c r="D147" s="135" t="s">
        <v>558</v>
      </c>
      <c r="E147" s="135"/>
      <c r="F147" s="135"/>
      <c r="G147" s="135"/>
      <c r="H147" s="134" t="s">
        <v>189</v>
      </c>
      <c r="I147" s="137" t="n">
        <v>1.318</v>
      </c>
      <c r="J147" s="135"/>
      <c r="HV147" s="11" t="s">
        <v>216</v>
      </c>
      <c r="HW147" s="11" t="s">
        <v>159</v>
      </c>
      <c r="IR147" s="183" t="n">
        <f aca="false">130*0</f>
        <v>0</v>
      </c>
      <c r="IS147" s="183" t="n">
        <f aca="false">130*(1-0)</f>
        <v>130</v>
      </c>
    </row>
    <row r="148" customFormat="false" ht="15" hidden="false" customHeight="true" outlineLevel="0" collapsed="false">
      <c r="A148" s="182" t="n">
        <v>129</v>
      </c>
      <c r="B148" s="134" t="s">
        <v>111</v>
      </c>
      <c r="C148" s="134" t="s">
        <v>266</v>
      </c>
      <c r="D148" s="135" t="s">
        <v>267</v>
      </c>
      <c r="E148" s="135"/>
      <c r="F148" s="135"/>
      <c r="G148" s="135"/>
      <c r="H148" s="134" t="s">
        <v>189</v>
      </c>
      <c r="I148" s="137" t="n">
        <v>19.77</v>
      </c>
      <c r="J148" s="135"/>
      <c r="HV148" s="11" t="s">
        <v>216</v>
      </c>
      <c r="HW148" s="11" t="s">
        <v>159</v>
      </c>
      <c r="IR148" s="183" t="n">
        <f aca="false">25.8*0</f>
        <v>0</v>
      </c>
      <c r="IS148" s="183" t="n">
        <f aca="false">25.8*(1-0)</f>
        <v>25.8</v>
      </c>
    </row>
    <row r="149" customFormat="false" ht="15" hidden="false" customHeight="true" outlineLevel="0" collapsed="false">
      <c r="A149" s="182" t="n">
        <v>130</v>
      </c>
      <c r="B149" s="134" t="s">
        <v>111</v>
      </c>
      <c r="C149" s="134" t="s">
        <v>272</v>
      </c>
      <c r="D149" s="135" t="s">
        <v>562</v>
      </c>
      <c r="E149" s="135"/>
      <c r="F149" s="135"/>
      <c r="G149" s="135"/>
      <c r="H149" s="134" t="s">
        <v>189</v>
      </c>
      <c r="I149" s="137" t="n">
        <v>1.318</v>
      </c>
      <c r="J149" s="135"/>
      <c r="HV149" s="11" t="s">
        <v>216</v>
      </c>
      <c r="HW149" s="11" t="s">
        <v>159</v>
      </c>
      <c r="IR149" s="183" t="n">
        <f aca="false">604*0</f>
        <v>0</v>
      </c>
      <c r="IS149" s="183" t="n">
        <f aca="false">604*(1-0)</f>
        <v>604</v>
      </c>
    </row>
    <row r="150" customFormat="false" ht="15" hidden="false" customHeight="true" outlineLevel="0" collapsed="false">
      <c r="A150" s="129" t="s">
        <v>97</v>
      </c>
      <c r="B150" s="129" t="s">
        <v>111</v>
      </c>
      <c r="C150" s="129" t="s">
        <v>231</v>
      </c>
      <c r="D150" s="130" t="s">
        <v>563</v>
      </c>
      <c r="E150" s="130"/>
      <c r="F150" s="130"/>
      <c r="G150" s="129" t="s">
        <v>97</v>
      </c>
      <c r="H150" s="129" t="s">
        <v>97</v>
      </c>
      <c r="I150" s="133" t="s">
        <v>97</v>
      </c>
      <c r="J150" s="129" t="s">
        <v>97</v>
      </c>
    </row>
    <row r="151" customFormat="false" ht="15" hidden="false" customHeight="true" outlineLevel="0" collapsed="false">
      <c r="A151" s="182" t="n">
        <v>131</v>
      </c>
      <c r="B151" s="134" t="s">
        <v>111</v>
      </c>
      <c r="C151" s="134" t="s">
        <v>294</v>
      </c>
      <c r="D151" s="135" t="s">
        <v>565</v>
      </c>
      <c r="E151" s="135"/>
      <c r="F151" s="135"/>
      <c r="G151" s="135"/>
      <c r="H151" s="134" t="s">
        <v>189</v>
      </c>
      <c r="I151" s="137" t="n">
        <v>0.363</v>
      </c>
      <c r="J151" s="135"/>
      <c r="HV151" s="11" t="s">
        <v>231</v>
      </c>
      <c r="HW151" s="11" t="s">
        <v>159</v>
      </c>
      <c r="IR151" s="183" t="n">
        <f aca="false">1786.01*0.721306152</f>
        <v>1288.26000053352</v>
      </c>
      <c r="IS151" s="183" t="n">
        <f aca="false">1786.01*(1-0.721306152)</f>
        <v>497.74999946648</v>
      </c>
    </row>
    <row r="152" customFormat="false" ht="15" hidden="false" customHeight="true" outlineLevel="0" collapsed="false">
      <c r="A152" s="129" t="s">
        <v>97</v>
      </c>
      <c r="B152" s="129" t="s">
        <v>111</v>
      </c>
      <c r="C152" s="129" t="s">
        <v>253</v>
      </c>
      <c r="D152" s="130" t="s">
        <v>568</v>
      </c>
      <c r="E152" s="130"/>
      <c r="F152" s="130"/>
      <c r="G152" s="129" t="s">
        <v>97</v>
      </c>
      <c r="H152" s="129" t="s">
        <v>97</v>
      </c>
      <c r="I152" s="133" t="s">
        <v>97</v>
      </c>
      <c r="J152" s="129" t="s">
        <v>97</v>
      </c>
    </row>
    <row r="153" customFormat="false" ht="15" hidden="false" customHeight="true" outlineLevel="0" collapsed="false">
      <c r="A153" s="182" t="n">
        <v>132</v>
      </c>
      <c r="B153" s="134" t="s">
        <v>111</v>
      </c>
      <c r="C153" s="134" t="s">
        <v>570</v>
      </c>
      <c r="D153" s="135" t="s">
        <v>571</v>
      </c>
      <c r="E153" s="135"/>
      <c r="F153" s="135"/>
      <c r="G153" s="135"/>
      <c r="H153" s="134" t="s">
        <v>189</v>
      </c>
      <c r="I153" s="137" t="n">
        <v>0.955</v>
      </c>
      <c r="J153" s="135"/>
      <c r="HV153" s="11" t="s">
        <v>253</v>
      </c>
      <c r="HW153" s="11" t="s">
        <v>159</v>
      </c>
      <c r="IR153" s="183" t="n">
        <f aca="false">6440*0.636565217</f>
        <v>4099.47999748</v>
      </c>
      <c r="IS153" s="183" t="n">
        <f aca="false">6440*(1-0.636565217)</f>
        <v>2340.52000252</v>
      </c>
    </row>
    <row r="154" customFormat="false" ht="15" hidden="false" customHeight="true" outlineLevel="0" collapsed="false">
      <c r="A154" s="129" t="s">
        <v>97</v>
      </c>
      <c r="B154" s="129" t="s">
        <v>111</v>
      </c>
      <c r="C154" s="129" t="s">
        <v>287</v>
      </c>
      <c r="D154" s="130" t="s">
        <v>573</v>
      </c>
      <c r="E154" s="130"/>
      <c r="F154" s="130"/>
      <c r="G154" s="129" t="s">
        <v>97</v>
      </c>
      <c r="H154" s="129" t="s">
        <v>97</v>
      </c>
      <c r="I154" s="133" t="s">
        <v>97</v>
      </c>
      <c r="J154" s="129" t="s">
        <v>97</v>
      </c>
    </row>
    <row r="155" customFormat="false" ht="24.05" hidden="false" customHeight="true" outlineLevel="0" collapsed="false">
      <c r="A155" s="182" t="n">
        <v>133</v>
      </c>
      <c r="B155" s="134" t="s">
        <v>111</v>
      </c>
      <c r="C155" s="134" t="s">
        <v>575</v>
      </c>
      <c r="D155" s="135" t="s">
        <v>576</v>
      </c>
      <c r="E155" s="135"/>
      <c r="F155" s="135"/>
      <c r="G155" s="135"/>
      <c r="H155" s="134" t="s">
        <v>154</v>
      </c>
      <c r="I155" s="137" t="n">
        <v>0.8</v>
      </c>
      <c r="J155" s="135"/>
      <c r="HV155" s="11" t="s">
        <v>287</v>
      </c>
      <c r="HW155" s="11" t="s">
        <v>159</v>
      </c>
      <c r="IR155" s="183" t="n">
        <f aca="false">1020*0.215656863</f>
        <v>219.97000026</v>
      </c>
      <c r="IS155" s="183" t="n">
        <f aca="false">1020*(1-0.215656863)</f>
        <v>800.02999974</v>
      </c>
    </row>
    <row r="156" customFormat="false" ht="24.05" hidden="false" customHeight="true" outlineLevel="0" collapsed="false">
      <c r="A156" s="182" t="n">
        <v>134</v>
      </c>
      <c r="B156" s="134" t="s">
        <v>111</v>
      </c>
      <c r="C156" s="134" t="s">
        <v>580</v>
      </c>
      <c r="D156" s="135" t="s">
        <v>581</v>
      </c>
      <c r="E156" s="135"/>
      <c r="F156" s="135"/>
      <c r="G156" s="135"/>
      <c r="H156" s="134" t="s">
        <v>154</v>
      </c>
      <c r="I156" s="137" t="n">
        <v>14.4</v>
      </c>
      <c r="J156" s="135"/>
      <c r="HV156" s="11" t="s">
        <v>287</v>
      </c>
      <c r="HW156" s="11" t="s">
        <v>159</v>
      </c>
      <c r="IR156" s="183" t="n">
        <f aca="false">1130*0.264964602</f>
        <v>299.41000026</v>
      </c>
      <c r="IS156" s="183" t="n">
        <f aca="false">1130*(1-0.264964602)</f>
        <v>830.58999974</v>
      </c>
    </row>
    <row r="157" customFormat="false" ht="24.05" hidden="false" customHeight="true" outlineLevel="0" collapsed="false">
      <c r="A157" s="184" t="n">
        <v>135</v>
      </c>
      <c r="B157" s="139" t="s">
        <v>111</v>
      </c>
      <c r="C157" s="139" t="s">
        <v>583</v>
      </c>
      <c r="D157" s="140" t="s">
        <v>584</v>
      </c>
      <c r="E157" s="140"/>
      <c r="F157" s="140"/>
      <c r="G157" s="135"/>
      <c r="H157" s="139" t="s">
        <v>202</v>
      </c>
      <c r="I157" s="142" t="n">
        <v>4.4</v>
      </c>
      <c r="J157" s="140"/>
      <c r="HV157" s="185" t="s">
        <v>287</v>
      </c>
      <c r="HW157" s="185" t="s">
        <v>180</v>
      </c>
      <c r="IR157" s="186" t="n">
        <f aca="false">213.5*1</f>
        <v>213.5</v>
      </c>
      <c r="IS157" s="186" t="n">
        <f aca="false">213.5*(1-1)</f>
        <v>0</v>
      </c>
    </row>
    <row r="158" customFormat="false" ht="24.05" hidden="false" customHeight="true" outlineLevel="0" collapsed="false">
      <c r="A158" s="184" t="n">
        <v>136</v>
      </c>
      <c r="B158" s="139" t="s">
        <v>111</v>
      </c>
      <c r="C158" s="139" t="s">
        <v>586</v>
      </c>
      <c r="D158" s="140" t="s">
        <v>587</v>
      </c>
      <c r="E158" s="140"/>
      <c r="F158" s="140"/>
      <c r="G158" s="135"/>
      <c r="H158" s="139" t="s">
        <v>202</v>
      </c>
      <c r="I158" s="142" t="n">
        <v>79.2</v>
      </c>
      <c r="J158" s="140"/>
      <c r="HV158" s="185" t="s">
        <v>287</v>
      </c>
      <c r="HW158" s="185" t="s">
        <v>180</v>
      </c>
      <c r="IR158" s="186" t="n">
        <f aca="false">213.5*1</f>
        <v>213.5</v>
      </c>
      <c r="IS158" s="186" t="n">
        <f aca="false">213.5*(1-1)</f>
        <v>0</v>
      </c>
    </row>
    <row r="159" customFormat="false" ht="15" hidden="false" customHeight="true" outlineLevel="0" collapsed="false">
      <c r="A159" s="182" t="n">
        <v>137</v>
      </c>
      <c r="B159" s="134" t="s">
        <v>111</v>
      </c>
      <c r="C159" s="134" t="s">
        <v>334</v>
      </c>
      <c r="D159" s="135" t="s">
        <v>589</v>
      </c>
      <c r="E159" s="135"/>
      <c r="F159" s="135"/>
      <c r="G159" s="135"/>
      <c r="H159" s="134" t="s">
        <v>179</v>
      </c>
      <c r="I159" s="137" t="n">
        <v>0.002</v>
      </c>
      <c r="J159" s="135"/>
      <c r="HV159" s="11" t="s">
        <v>287</v>
      </c>
      <c r="HW159" s="11" t="s">
        <v>159</v>
      </c>
      <c r="IR159" s="183" t="n">
        <f aca="false">1950*0</f>
        <v>0</v>
      </c>
      <c r="IS159" s="183" t="n">
        <f aca="false">1950*(1-0)</f>
        <v>1950</v>
      </c>
    </row>
    <row r="160" customFormat="false" ht="15" hidden="false" customHeight="true" outlineLevel="0" collapsed="false">
      <c r="A160" s="129" t="s">
        <v>97</v>
      </c>
      <c r="B160" s="129" t="s">
        <v>111</v>
      </c>
      <c r="C160" s="129" t="s">
        <v>590</v>
      </c>
      <c r="D160" s="130" t="s">
        <v>112</v>
      </c>
      <c r="E160" s="130"/>
      <c r="F160" s="130"/>
      <c r="G160" s="129" t="s">
        <v>97</v>
      </c>
      <c r="H160" s="129" t="s">
        <v>97</v>
      </c>
      <c r="I160" s="133" t="s">
        <v>97</v>
      </c>
      <c r="J160" s="129" t="s">
        <v>97</v>
      </c>
    </row>
    <row r="161" customFormat="false" ht="675.25" hidden="false" customHeight="true" outlineLevel="0" collapsed="false">
      <c r="A161" s="182" t="n">
        <v>138</v>
      </c>
      <c r="B161" s="134" t="s">
        <v>111</v>
      </c>
      <c r="C161" s="134" t="s">
        <v>592</v>
      </c>
      <c r="D161" s="135" t="s">
        <v>593</v>
      </c>
      <c r="E161" s="135"/>
      <c r="F161" s="135"/>
      <c r="G161" s="135"/>
      <c r="H161" s="134" t="s">
        <v>594</v>
      </c>
      <c r="I161" s="137" t="n">
        <v>6</v>
      </c>
      <c r="J161" s="135" t="s">
        <v>772</v>
      </c>
      <c r="HV161" s="11" t="s">
        <v>590</v>
      </c>
      <c r="HW161" s="11" t="s">
        <v>159</v>
      </c>
      <c r="IR161" s="183" t="n">
        <f aca="false">56500*0.955752212</f>
        <v>53999.999978</v>
      </c>
      <c r="IS161" s="183" t="n">
        <f aca="false">56500*(1-0.955752212)</f>
        <v>2500.000022</v>
      </c>
    </row>
    <row r="162" customFormat="false" ht="161.25" hidden="false" customHeight="true" outlineLevel="0" collapsed="false">
      <c r="A162" s="182" t="n">
        <v>139</v>
      </c>
      <c r="B162" s="134" t="s">
        <v>111</v>
      </c>
      <c r="C162" s="134" t="s">
        <v>598</v>
      </c>
      <c r="D162" s="135" t="s">
        <v>599</v>
      </c>
      <c r="E162" s="135"/>
      <c r="F162" s="135"/>
      <c r="G162" s="135"/>
      <c r="H162" s="134" t="s">
        <v>594</v>
      </c>
      <c r="I162" s="137" t="n">
        <v>1</v>
      </c>
      <c r="J162" s="135" t="s">
        <v>773</v>
      </c>
      <c r="HV162" s="11" t="s">
        <v>590</v>
      </c>
      <c r="HW162" s="11" t="s">
        <v>159</v>
      </c>
      <c r="IR162" s="183" t="n">
        <f aca="false">12500*0.9228</f>
        <v>11535</v>
      </c>
      <c r="IS162" s="183" t="n">
        <f aca="false">12500*(1-0.9228)</f>
        <v>965.000000000001</v>
      </c>
    </row>
    <row r="163" customFormat="false" ht="15" hidden="false" customHeight="true" outlineLevel="0" collapsed="false">
      <c r="A163" s="182" t="n">
        <v>140</v>
      </c>
      <c r="B163" s="134" t="s">
        <v>111</v>
      </c>
      <c r="C163" s="134" t="s">
        <v>334</v>
      </c>
      <c r="D163" s="135" t="s">
        <v>589</v>
      </c>
      <c r="E163" s="135"/>
      <c r="F163" s="135"/>
      <c r="G163" s="135"/>
      <c r="H163" s="134" t="s">
        <v>179</v>
      </c>
      <c r="I163" s="137" t="n">
        <v>1.53</v>
      </c>
      <c r="J163" s="135"/>
      <c r="HV163" s="11" t="s">
        <v>590</v>
      </c>
      <c r="HW163" s="11" t="s">
        <v>159</v>
      </c>
      <c r="IR163" s="183" t="n">
        <f aca="false">1950*0</f>
        <v>0</v>
      </c>
      <c r="IS163" s="183" t="n">
        <f aca="false">1950*(1-0)</f>
        <v>1950</v>
      </c>
    </row>
    <row r="164" customFormat="false" ht="15" hidden="false" customHeight="true" outlineLevel="0" collapsed="false">
      <c r="A164" s="129" t="s">
        <v>97</v>
      </c>
      <c r="B164" s="129" t="s">
        <v>111</v>
      </c>
      <c r="C164" s="129" t="s">
        <v>601</v>
      </c>
      <c r="D164" s="130" t="s">
        <v>602</v>
      </c>
      <c r="E164" s="130"/>
      <c r="F164" s="130"/>
      <c r="G164" s="129" t="s">
        <v>97</v>
      </c>
      <c r="H164" s="129" t="s">
        <v>97</v>
      </c>
      <c r="I164" s="133" t="s">
        <v>97</v>
      </c>
      <c r="J164" s="129" t="s">
        <v>97</v>
      </c>
    </row>
    <row r="165" customFormat="false" ht="15" hidden="false" customHeight="true" outlineLevel="0" collapsed="false">
      <c r="A165" s="182" t="n">
        <v>141</v>
      </c>
      <c r="B165" s="134" t="s">
        <v>111</v>
      </c>
      <c r="C165" s="134" t="s">
        <v>182</v>
      </c>
      <c r="D165" s="135" t="s">
        <v>183</v>
      </c>
      <c r="E165" s="135"/>
      <c r="F165" s="135"/>
      <c r="G165" s="135"/>
      <c r="H165" s="134" t="s">
        <v>179</v>
      </c>
      <c r="I165" s="137" t="n">
        <v>3.224</v>
      </c>
      <c r="J165" s="135"/>
      <c r="HV165" s="11" t="s">
        <v>601</v>
      </c>
      <c r="HW165" s="11" t="s">
        <v>159</v>
      </c>
      <c r="IR165" s="183" t="n">
        <f aca="false">557*0</f>
        <v>0</v>
      </c>
      <c r="IS165" s="183" t="n">
        <f aca="false">557*(1-0)</f>
        <v>557</v>
      </c>
    </row>
    <row r="166" customFormat="false" ht="15" hidden="false" customHeight="true" outlineLevel="0" collapsed="false">
      <c r="A166" s="129" t="s">
        <v>97</v>
      </c>
      <c r="B166" s="129" t="s">
        <v>113</v>
      </c>
      <c r="C166" s="129"/>
      <c r="D166" s="130" t="s">
        <v>75</v>
      </c>
      <c r="E166" s="130"/>
      <c r="F166" s="130"/>
      <c r="G166" s="129" t="s">
        <v>97</v>
      </c>
      <c r="H166" s="129" t="s">
        <v>97</v>
      </c>
      <c r="I166" s="133" t="s">
        <v>97</v>
      </c>
      <c r="J166" s="129" t="s">
        <v>97</v>
      </c>
    </row>
    <row r="167" customFormat="false" ht="24.05" hidden="false" customHeight="true" outlineLevel="0" collapsed="false">
      <c r="A167" s="129" t="s">
        <v>97</v>
      </c>
      <c r="B167" s="129" t="s">
        <v>113</v>
      </c>
      <c r="C167" s="129" t="s">
        <v>606</v>
      </c>
      <c r="D167" s="130" t="s">
        <v>607</v>
      </c>
      <c r="E167" s="130"/>
      <c r="F167" s="130"/>
      <c r="G167" s="129" t="s">
        <v>97</v>
      </c>
      <c r="H167" s="129" t="s">
        <v>97</v>
      </c>
      <c r="I167" s="133" t="s">
        <v>97</v>
      </c>
      <c r="J167" s="129" t="s">
        <v>97</v>
      </c>
    </row>
    <row r="168" customFormat="false" ht="24.05" hidden="false" customHeight="true" outlineLevel="0" collapsed="false">
      <c r="A168" s="182" t="n">
        <v>142</v>
      </c>
      <c r="B168" s="134" t="s">
        <v>113</v>
      </c>
      <c r="C168" s="134" t="s">
        <v>609</v>
      </c>
      <c r="D168" s="135" t="s">
        <v>610</v>
      </c>
      <c r="E168" s="135"/>
      <c r="F168" s="135"/>
      <c r="G168" s="135"/>
      <c r="H168" s="134" t="s">
        <v>163</v>
      </c>
      <c r="I168" s="137" t="n">
        <v>16</v>
      </c>
      <c r="J168" s="135"/>
      <c r="HV168" s="11" t="s">
        <v>606</v>
      </c>
      <c r="HW168" s="11" t="s">
        <v>159</v>
      </c>
      <c r="IR168" s="183" t="n">
        <f aca="false">845*0</f>
        <v>0</v>
      </c>
      <c r="IS168" s="183" t="n">
        <f aca="false">845*(1-0)</f>
        <v>845</v>
      </c>
    </row>
    <row r="169" customFormat="false" ht="15" hidden="false" customHeight="true" outlineLevel="0" collapsed="false">
      <c r="A169" s="182" t="n">
        <v>143</v>
      </c>
      <c r="B169" s="134" t="s">
        <v>113</v>
      </c>
      <c r="C169" s="134" t="s">
        <v>609</v>
      </c>
      <c r="D169" s="135" t="s">
        <v>615</v>
      </c>
      <c r="E169" s="135"/>
      <c r="F169" s="135"/>
      <c r="G169" s="135"/>
      <c r="H169" s="134" t="s">
        <v>163</v>
      </c>
      <c r="I169" s="137" t="n">
        <v>25</v>
      </c>
      <c r="J169" s="135"/>
      <c r="HV169" s="11" t="s">
        <v>606</v>
      </c>
      <c r="HW169" s="11" t="s">
        <v>159</v>
      </c>
      <c r="IR169" s="183" t="n">
        <f aca="false">845*0</f>
        <v>0</v>
      </c>
      <c r="IS169" s="183" t="n">
        <f aca="false">845*(1-0)</f>
        <v>845</v>
      </c>
    </row>
    <row r="170" customFormat="false" ht="15" hidden="false" customHeight="true" outlineLevel="0" collapsed="false">
      <c r="A170" s="182" t="n">
        <v>144</v>
      </c>
      <c r="B170" s="134" t="s">
        <v>113</v>
      </c>
      <c r="C170" s="134" t="s">
        <v>609</v>
      </c>
      <c r="D170" s="135" t="s">
        <v>617</v>
      </c>
      <c r="E170" s="135"/>
      <c r="F170" s="135"/>
      <c r="G170" s="135"/>
      <c r="H170" s="134" t="s">
        <v>163</v>
      </c>
      <c r="I170" s="137" t="n">
        <v>3</v>
      </c>
      <c r="J170" s="135"/>
      <c r="HV170" s="11" t="s">
        <v>606</v>
      </c>
      <c r="HW170" s="11" t="s">
        <v>159</v>
      </c>
      <c r="IR170" s="183" t="n">
        <f aca="false">845*0</f>
        <v>0</v>
      </c>
      <c r="IS170" s="183" t="n">
        <f aca="false">845*(1-0)</f>
        <v>845</v>
      </c>
    </row>
    <row r="171" customFormat="false" ht="15" hidden="false" customHeight="true" outlineLevel="0" collapsed="false">
      <c r="A171" s="182" t="n">
        <v>145</v>
      </c>
      <c r="B171" s="134" t="s">
        <v>113</v>
      </c>
      <c r="C171" s="134" t="s">
        <v>609</v>
      </c>
      <c r="D171" s="135" t="s">
        <v>619</v>
      </c>
      <c r="E171" s="135"/>
      <c r="F171" s="135"/>
      <c r="G171" s="135"/>
      <c r="H171" s="134" t="s">
        <v>163</v>
      </c>
      <c r="I171" s="137" t="n">
        <v>20</v>
      </c>
      <c r="J171" s="135"/>
      <c r="HV171" s="11" t="s">
        <v>606</v>
      </c>
      <c r="HW171" s="11" t="s">
        <v>159</v>
      </c>
      <c r="IR171" s="183" t="n">
        <f aca="false">845*0</f>
        <v>0</v>
      </c>
      <c r="IS171" s="183" t="n">
        <f aca="false">845*(1-0)</f>
        <v>845</v>
      </c>
    </row>
    <row r="172" customFormat="false" ht="24.05" hidden="false" customHeight="true" outlineLevel="0" collapsed="false">
      <c r="A172" s="182" t="n">
        <v>146</v>
      </c>
      <c r="B172" s="134" t="s">
        <v>113</v>
      </c>
      <c r="C172" s="134" t="s">
        <v>609</v>
      </c>
      <c r="D172" s="135" t="s">
        <v>621</v>
      </c>
      <c r="E172" s="135"/>
      <c r="F172" s="135"/>
      <c r="G172" s="135"/>
      <c r="H172" s="134" t="s">
        <v>163</v>
      </c>
      <c r="I172" s="137" t="n">
        <v>10</v>
      </c>
      <c r="J172" s="135"/>
      <c r="HV172" s="11" t="s">
        <v>606</v>
      </c>
      <c r="HW172" s="11" t="s">
        <v>159</v>
      </c>
      <c r="IR172" s="183" t="n">
        <f aca="false">845*0</f>
        <v>0</v>
      </c>
      <c r="IS172" s="183" t="n">
        <f aca="false">845*(1-0)</f>
        <v>845</v>
      </c>
    </row>
    <row r="173" customFormat="false" ht="15" hidden="false" customHeight="true" outlineLevel="0" collapsed="false">
      <c r="A173" s="182" t="n">
        <v>147</v>
      </c>
      <c r="B173" s="134" t="s">
        <v>113</v>
      </c>
      <c r="C173" s="134" t="s">
        <v>609</v>
      </c>
      <c r="D173" s="135" t="s">
        <v>623</v>
      </c>
      <c r="E173" s="135"/>
      <c r="F173" s="135"/>
      <c r="G173" s="135"/>
      <c r="H173" s="134" t="s">
        <v>163</v>
      </c>
      <c r="I173" s="137" t="n">
        <v>5</v>
      </c>
      <c r="J173" s="135"/>
      <c r="HV173" s="11" t="s">
        <v>606</v>
      </c>
      <c r="HW173" s="11" t="s">
        <v>159</v>
      </c>
      <c r="IR173" s="183" t="n">
        <f aca="false">845*0</f>
        <v>0</v>
      </c>
      <c r="IS173" s="183" t="n">
        <f aca="false">845*(1-0)</f>
        <v>845</v>
      </c>
    </row>
    <row r="174" customFormat="false" ht="24.05" hidden="false" customHeight="true" outlineLevel="0" collapsed="false">
      <c r="A174" s="182" t="n">
        <v>148</v>
      </c>
      <c r="B174" s="134" t="s">
        <v>113</v>
      </c>
      <c r="C174" s="134" t="s">
        <v>609</v>
      </c>
      <c r="D174" s="135" t="s">
        <v>625</v>
      </c>
      <c r="E174" s="135"/>
      <c r="F174" s="135"/>
      <c r="G174" s="135"/>
      <c r="H174" s="134" t="s">
        <v>163</v>
      </c>
      <c r="I174" s="137" t="n">
        <v>15</v>
      </c>
      <c r="J174" s="135"/>
      <c r="HV174" s="11" t="s">
        <v>606</v>
      </c>
      <c r="HW174" s="11" t="s">
        <v>159</v>
      </c>
      <c r="IR174" s="183" t="n">
        <f aca="false">845*0</f>
        <v>0</v>
      </c>
      <c r="IS174" s="183" t="n">
        <f aca="false">845*(1-0)</f>
        <v>845</v>
      </c>
    </row>
    <row r="175" customFormat="false" ht="23.85" hidden="false" customHeight="true" outlineLevel="0" collapsed="false">
      <c r="A175" s="182" t="n">
        <v>149</v>
      </c>
      <c r="B175" s="134" t="s">
        <v>113</v>
      </c>
      <c r="C175" s="134" t="s">
        <v>627</v>
      </c>
      <c r="D175" s="135" t="s">
        <v>628</v>
      </c>
      <c r="E175" s="135"/>
      <c r="F175" s="135"/>
      <c r="G175" s="135"/>
      <c r="H175" s="134" t="s">
        <v>79</v>
      </c>
      <c r="I175" s="137"/>
      <c r="J175" s="135"/>
      <c r="HV175" s="11" t="s">
        <v>606</v>
      </c>
      <c r="HW175" s="11" t="s">
        <v>159</v>
      </c>
      <c r="IR175" s="183" t="n">
        <f aca="false">1*0</f>
        <v>0</v>
      </c>
      <c r="IS175" s="183" t="n">
        <f aca="false">1*(1-0)</f>
        <v>1</v>
      </c>
    </row>
    <row r="176" customFormat="false" ht="23.85" hidden="false" customHeight="true" outlineLevel="0" collapsed="false">
      <c r="A176" s="182" t="n">
        <v>150</v>
      </c>
      <c r="B176" s="134" t="s">
        <v>113</v>
      </c>
      <c r="C176" s="134" t="s">
        <v>630</v>
      </c>
      <c r="D176" s="135" t="s">
        <v>631</v>
      </c>
      <c r="E176" s="135"/>
      <c r="F176" s="135"/>
      <c r="G176" s="135"/>
      <c r="H176" s="134" t="s">
        <v>79</v>
      </c>
      <c r="I176" s="137"/>
      <c r="J176" s="135"/>
      <c r="HV176" s="11" t="s">
        <v>606</v>
      </c>
      <c r="HW176" s="11" t="s">
        <v>159</v>
      </c>
      <c r="IR176" s="183" t="n">
        <f aca="false">1.05*0</f>
        <v>0</v>
      </c>
      <c r="IS176" s="183" t="n">
        <f aca="false">1.05*(1-0)</f>
        <v>1.05</v>
      </c>
    </row>
    <row r="177" customFormat="false" ht="35.45" hidden="false" customHeight="true" outlineLevel="0" collapsed="false">
      <c r="A177" s="182" t="n">
        <v>151</v>
      </c>
      <c r="B177" s="134" t="s">
        <v>113</v>
      </c>
      <c r="C177" s="134" t="s">
        <v>633</v>
      </c>
      <c r="D177" s="135" t="s">
        <v>634</v>
      </c>
      <c r="E177" s="135"/>
      <c r="F177" s="135"/>
      <c r="G177" s="135"/>
      <c r="H177" s="134" t="s">
        <v>635</v>
      </c>
      <c r="I177" s="137" t="n">
        <v>1</v>
      </c>
      <c r="J177" s="135"/>
      <c r="HV177" s="11" t="s">
        <v>606</v>
      </c>
      <c r="HW177" s="11" t="s">
        <v>159</v>
      </c>
      <c r="IR177" s="183" t="n">
        <f aca="false">50000*0</f>
        <v>0</v>
      </c>
      <c r="IS177" s="183" t="n">
        <f aca="false">50000*(1-0)</f>
        <v>50000</v>
      </c>
    </row>
  </sheetData>
  <mergeCells count="177">
    <mergeCell ref="D1:F1"/>
    <mergeCell ref="D2:F2"/>
    <mergeCell ref="D3:F3"/>
    <mergeCell ref="D4:F4"/>
    <mergeCell ref="D5:F5"/>
    <mergeCell ref="D6:F6"/>
    <mergeCell ref="D7:F7"/>
    <mergeCell ref="D8:F8"/>
    <mergeCell ref="D9:F9"/>
    <mergeCell ref="D10:F10"/>
    <mergeCell ref="D11:F11"/>
    <mergeCell ref="D12:F12"/>
    <mergeCell ref="D13:F13"/>
    <mergeCell ref="D14:F14"/>
    <mergeCell ref="D15:F15"/>
    <mergeCell ref="D16:F16"/>
    <mergeCell ref="D17:F17"/>
    <mergeCell ref="D18:F18"/>
    <mergeCell ref="D19:F19"/>
    <mergeCell ref="D20:F20"/>
    <mergeCell ref="D21:F21"/>
    <mergeCell ref="D22:F22"/>
    <mergeCell ref="D23:F23"/>
    <mergeCell ref="D24:F24"/>
    <mergeCell ref="D25:F25"/>
    <mergeCell ref="D26:F26"/>
    <mergeCell ref="D27:F27"/>
    <mergeCell ref="D28:F28"/>
    <mergeCell ref="D29:F29"/>
    <mergeCell ref="D30:F30"/>
    <mergeCell ref="D31:F31"/>
    <mergeCell ref="D32:F32"/>
    <mergeCell ref="D33:F33"/>
    <mergeCell ref="D34:F34"/>
    <mergeCell ref="D35:F35"/>
    <mergeCell ref="D36:F36"/>
    <mergeCell ref="D37:F37"/>
    <mergeCell ref="D38:F38"/>
    <mergeCell ref="D39:F39"/>
    <mergeCell ref="D40:F40"/>
    <mergeCell ref="D41:F41"/>
    <mergeCell ref="D42:F42"/>
    <mergeCell ref="D43:F43"/>
    <mergeCell ref="D44:F44"/>
    <mergeCell ref="D45:F45"/>
    <mergeCell ref="D46:F46"/>
    <mergeCell ref="D47:F47"/>
    <mergeCell ref="D48:F48"/>
    <mergeCell ref="D49:F49"/>
    <mergeCell ref="D50:F50"/>
    <mergeCell ref="D51:F51"/>
    <mergeCell ref="D52:F52"/>
    <mergeCell ref="D53:F53"/>
    <mergeCell ref="D54:F54"/>
    <mergeCell ref="D55:F55"/>
    <mergeCell ref="D56:F56"/>
    <mergeCell ref="D57:F57"/>
    <mergeCell ref="D58:F58"/>
    <mergeCell ref="D59:F59"/>
    <mergeCell ref="D60:F60"/>
    <mergeCell ref="D61:F61"/>
    <mergeCell ref="D62:F62"/>
    <mergeCell ref="D63:F63"/>
    <mergeCell ref="D64:F64"/>
    <mergeCell ref="D65:F65"/>
    <mergeCell ref="D66:F66"/>
    <mergeCell ref="D67:F67"/>
    <mergeCell ref="D68:F68"/>
    <mergeCell ref="D69:F69"/>
    <mergeCell ref="D70:F70"/>
    <mergeCell ref="D71:F71"/>
    <mergeCell ref="D72:F72"/>
    <mergeCell ref="D73:F73"/>
    <mergeCell ref="D74:F74"/>
    <mergeCell ref="D75:F75"/>
    <mergeCell ref="D76:F76"/>
    <mergeCell ref="D77:F77"/>
    <mergeCell ref="D78:F78"/>
    <mergeCell ref="D79:F79"/>
    <mergeCell ref="D80:F80"/>
    <mergeCell ref="D81:F81"/>
    <mergeCell ref="D82:F82"/>
    <mergeCell ref="D83:F83"/>
    <mergeCell ref="D84:F84"/>
    <mergeCell ref="D85:F85"/>
    <mergeCell ref="D86:F86"/>
    <mergeCell ref="D87:F87"/>
    <mergeCell ref="D88:F88"/>
    <mergeCell ref="D89:F89"/>
    <mergeCell ref="D90:F90"/>
    <mergeCell ref="D91:F91"/>
    <mergeCell ref="D92:F92"/>
    <mergeCell ref="D93:F93"/>
    <mergeCell ref="D94:F94"/>
    <mergeCell ref="D95:F95"/>
    <mergeCell ref="D96:F96"/>
    <mergeCell ref="D97:F97"/>
    <mergeCell ref="D98:F98"/>
    <mergeCell ref="D99:F99"/>
    <mergeCell ref="D100:F100"/>
    <mergeCell ref="D101:F101"/>
    <mergeCell ref="D102:F102"/>
    <mergeCell ref="D103:F103"/>
    <mergeCell ref="D104:F104"/>
    <mergeCell ref="D105:F105"/>
    <mergeCell ref="D106:F106"/>
    <mergeCell ref="D107:F107"/>
    <mergeCell ref="D108:F108"/>
    <mergeCell ref="D109:F109"/>
    <mergeCell ref="D110:F110"/>
    <mergeCell ref="D111:F111"/>
    <mergeCell ref="D112:F112"/>
    <mergeCell ref="D113:F113"/>
    <mergeCell ref="D114:F114"/>
    <mergeCell ref="D115:F115"/>
    <mergeCell ref="D116:F116"/>
    <mergeCell ref="D117:F117"/>
    <mergeCell ref="D118:F118"/>
    <mergeCell ref="D119:F119"/>
    <mergeCell ref="D120:F120"/>
    <mergeCell ref="D121:F121"/>
    <mergeCell ref="D122:F122"/>
    <mergeCell ref="D123:F123"/>
    <mergeCell ref="D124:F124"/>
    <mergeCell ref="D125:F125"/>
    <mergeCell ref="D126:F126"/>
    <mergeCell ref="D127:F127"/>
    <mergeCell ref="D128:F128"/>
    <mergeCell ref="D129:F129"/>
    <mergeCell ref="D130:F130"/>
    <mergeCell ref="D131:F131"/>
    <mergeCell ref="D132:F132"/>
    <mergeCell ref="D133:F133"/>
    <mergeCell ref="D134:F134"/>
    <mergeCell ref="D135:F135"/>
    <mergeCell ref="D136:F136"/>
    <mergeCell ref="D137:F137"/>
    <mergeCell ref="D138:F138"/>
    <mergeCell ref="D139:F139"/>
    <mergeCell ref="D140:F140"/>
    <mergeCell ref="D141:F141"/>
    <mergeCell ref="D142:F142"/>
    <mergeCell ref="D143:F143"/>
    <mergeCell ref="D144:F144"/>
    <mergeCell ref="D145:F145"/>
    <mergeCell ref="D146:F146"/>
    <mergeCell ref="D147:F147"/>
    <mergeCell ref="D148:F148"/>
    <mergeCell ref="D149:F149"/>
    <mergeCell ref="D150:F150"/>
    <mergeCell ref="D151:F151"/>
    <mergeCell ref="D152:F152"/>
    <mergeCell ref="D153:F153"/>
    <mergeCell ref="D154:F154"/>
    <mergeCell ref="D155:F155"/>
    <mergeCell ref="D156:F156"/>
    <mergeCell ref="D157:F157"/>
    <mergeCell ref="D158:F158"/>
    <mergeCell ref="D159:F159"/>
    <mergeCell ref="D160:F160"/>
    <mergeCell ref="D161:F161"/>
    <mergeCell ref="D162:F162"/>
    <mergeCell ref="D163:F163"/>
    <mergeCell ref="D164:F164"/>
    <mergeCell ref="D165:F165"/>
    <mergeCell ref="D166:F166"/>
    <mergeCell ref="D167:F167"/>
    <mergeCell ref="D168:F168"/>
    <mergeCell ref="D169:F169"/>
    <mergeCell ref="D170:F170"/>
    <mergeCell ref="D171:F171"/>
    <mergeCell ref="D172:F172"/>
    <mergeCell ref="D173:F173"/>
    <mergeCell ref="D174:F174"/>
    <mergeCell ref="D175:F175"/>
    <mergeCell ref="D176:F176"/>
    <mergeCell ref="D177:F177"/>
  </mergeCells>
  <printOptions headings="false" gridLines="false" gridLinesSet="true" horizontalCentered="false" verticalCentered="false"/>
  <pageMargins left="0.0784722222222222" right="0.0784722222222222" top="0.196527777777778" bottom="0.275694444444444" header="0.511811023622047" footer="0.511811023622047"/>
  <pageSetup paperSize="9" scale="100" fitToWidth="1" fitToHeight="12" pageOrder="downThenOver" orientation="landscape" blackAndWhite="false" draft="false" cellComments="none" horizontalDpi="300" verticalDpi="300" copies="1"/>
  <headerFooter differentFirst="false" differentOddEven="false">
    <oddHeader/>
    <oddFooter/>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B8860B"/>
    <pageSetUpPr fitToPage="true"/>
  </sheetPr>
  <dimension ref="A1:I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1484375" defaultRowHeight="15" customHeight="true" zeroHeight="false" outlineLevelRow="0" outlineLevelCol="0"/>
  <cols>
    <col collapsed="false" customWidth="true" hidden="false" outlineLevel="0" max="1" min="1" style="22" width="17.67"/>
    <col collapsed="false" customWidth="true" hidden="false" outlineLevel="0" max="2" min="2" style="22" width="12.86"/>
    <col collapsed="false" customWidth="true" hidden="false" outlineLevel="0" max="3" min="3" style="22" width="27.15"/>
    <col collapsed="false" customWidth="true" hidden="false" outlineLevel="0" max="4" min="4" style="22" width="19.3"/>
    <col collapsed="false" customWidth="true" hidden="false" outlineLevel="0" max="5" min="5" style="22" width="14"/>
    <col collapsed="false" customWidth="true" hidden="false" outlineLevel="0" max="6" min="6" style="22" width="27.15"/>
    <col collapsed="false" customWidth="true" hidden="false" outlineLevel="0" max="7" min="7" style="22" width="18.87"/>
    <col collapsed="false" customWidth="true" hidden="false" outlineLevel="0" max="8" min="8" style="22" width="12.86"/>
    <col collapsed="false" customWidth="true" hidden="false" outlineLevel="0" max="9" min="9" style="22" width="27.15"/>
  </cols>
  <sheetData>
    <row r="1" customFormat="false" ht="39.7" hidden="false" customHeight="true" outlineLevel="0" collapsed="false">
      <c r="A1" s="24" t="s">
        <v>774</v>
      </c>
      <c r="B1" s="24"/>
      <c r="C1" s="24"/>
      <c r="D1" s="24"/>
      <c r="E1" s="24"/>
      <c r="F1" s="24"/>
      <c r="G1" s="24"/>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21</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2" customFormat="false" ht="22.05" hidden="false" customHeight="false" outlineLevel="0" collapsed="false">
      <c r="A12" s="25" t="s">
        <v>32</v>
      </c>
      <c r="B12" s="25"/>
      <c r="C12" s="25"/>
      <c r="D12" s="25"/>
      <c r="E12" s="25"/>
      <c r="F12" s="25"/>
      <c r="G12" s="25"/>
      <c r="H12" s="25"/>
      <c r="I12" s="25"/>
    </row>
    <row r="13" customFormat="false" ht="26.25" hidden="false" customHeight="true" outlineLevel="0" collapsed="false">
      <c r="A13" s="26" t="s">
        <v>33</v>
      </c>
      <c r="B13" s="27" t="s">
        <v>34</v>
      </c>
      <c r="C13" s="27"/>
      <c r="D13" s="28" t="s">
        <v>35</v>
      </c>
      <c r="E13" s="27" t="s">
        <v>36</v>
      </c>
      <c r="F13" s="27"/>
      <c r="G13" s="28" t="s">
        <v>775</v>
      </c>
      <c r="H13" s="27" t="s">
        <v>82</v>
      </c>
      <c r="I13" s="27"/>
    </row>
    <row r="14" customFormat="false" ht="15" hidden="false" customHeight="false" outlineLevel="0" collapsed="false">
      <c r="A14" s="29" t="s">
        <v>37</v>
      </c>
      <c r="B14" s="30" t="s">
        <v>38</v>
      </c>
      <c r="C14" s="31" t="n">
        <f aca="false">SUM('Stavební rozpočet (SO01.10)'!AB12:AB374)</f>
        <v>0</v>
      </c>
      <c r="D14" s="30" t="s">
        <v>39</v>
      </c>
      <c r="E14" s="30"/>
      <c r="F14" s="31" t="n">
        <f aca="false">'VORN objektu (SO01.10)'!I15</f>
        <v>0</v>
      </c>
      <c r="G14" s="30" t="s">
        <v>83</v>
      </c>
      <c r="H14" s="30"/>
      <c r="I14" s="31" t="n">
        <f aca="false">'VORN objektu (SO01.10)'!I21</f>
        <v>0</v>
      </c>
    </row>
    <row r="15" customFormat="false" ht="15" hidden="false" customHeight="false" outlineLevel="0" collapsed="false">
      <c r="A15" s="32"/>
      <c r="B15" s="30" t="s">
        <v>40</v>
      </c>
      <c r="C15" s="31" t="n">
        <f aca="false">SUM('Stavební rozpočet (SO01.10)'!AC12:AC374)</f>
        <v>0</v>
      </c>
      <c r="D15" s="30" t="s">
        <v>41</v>
      </c>
      <c r="E15" s="30"/>
      <c r="F15" s="31" t="n">
        <f aca="false">'VORN objektu (SO01.10)'!I16</f>
        <v>0</v>
      </c>
      <c r="G15" s="30" t="s">
        <v>84</v>
      </c>
      <c r="H15" s="30"/>
      <c r="I15" s="31" t="n">
        <f aca="false">'VORN objektu (SO01.10)'!I22</f>
        <v>0</v>
      </c>
    </row>
    <row r="16" customFormat="false" ht="15" hidden="false" customHeight="false" outlineLevel="0" collapsed="false">
      <c r="A16" s="29" t="s">
        <v>42</v>
      </c>
      <c r="B16" s="30" t="s">
        <v>38</v>
      </c>
      <c r="C16" s="31" t="n">
        <f aca="false">SUM('Stavební rozpočet (SO01.10)'!AD12:AD374)</f>
        <v>0</v>
      </c>
      <c r="D16" s="30" t="s">
        <v>43</v>
      </c>
      <c r="E16" s="30"/>
      <c r="F16" s="31" t="n">
        <f aca="false">'VORN objektu (SO01.10)'!I17</f>
        <v>0</v>
      </c>
      <c r="G16" s="30" t="s">
        <v>85</v>
      </c>
      <c r="H16" s="30"/>
      <c r="I16" s="31" t="n">
        <f aca="false">'VORN objektu (SO01.10)'!I23</f>
        <v>0</v>
      </c>
    </row>
    <row r="17" customFormat="false" ht="15" hidden="false" customHeight="false" outlineLevel="0" collapsed="false">
      <c r="A17" s="32"/>
      <c r="B17" s="30" t="s">
        <v>40</v>
      </c>
      <c r="C17" s="31" t="n">
        <f aca="false">SUM('Stavební rozpočet (SO01.10)'!AE12:AE374)</f>
        <v>0</v>
      </c>
      <c r="D17" s="30"/>
      <c r="E17" s="30"/>
      <c r="F17" s="33"/>
      <c r="G17" s="30" t="s">
        <v>86</v>
      </c>
      <c r="H17" s="30"/>
      <c r="I17" s="31" t="n">
        <f aca="false">'VORN objektu (SO01.10)'!I24</f>
        <v>0</v>
      </c>
    </row>
    <row r="18" customFormat="false" ht="15" hidden="false" customHeight="false" outlineLevel="0" collapsed="false">
      <c r="A18" s="29" t="s">
        <v>44</v>
      </c>
      <c r="B18" s="30" t="s">
        <v>38</v>
      </c>
      <c r="C18" s="31" t="n">
        <f aca="false">SUM('Stavební rozpočet (SO01.10)'!AF12:AF374)</f>
        <v>0</v>
      </c>
      <c r="D18" s="30"/>
      <c r="E18" s="30"/>
      <c r="F18" s="33"/>
      <c r="G18" s="30" t="s">
        <v>87</v>
      </c>
      <c r="H18" s="30"/>
      <c r="I18" s="31" t="n">
        <f aca="false">'VORN objektu (SO01.10)'!I25</f>
        <v>0</v>
      </c>
    </row>
    <row r="19" customFormat="false" ht="15" hidden="false" customHeight="false" outlineLevel="0" collapsed="false">
      <c r="A19" s="32"/>
      <c r="B19" s="30" t="s">
        <v>40</v>
      </c>
      <c r="C19" s="31" t="n">
        <f aca="false">SUM('Stavební rozpočet (SO01.10)'!AG12:AG374)</f>
        <v>0</v>
      </c>
      <c r="D19" s="30"/>
      <c r="E19" s="30"/>
      <c r="F19" s="33"/>
      <c r="G19" s="30" t="s">
        <v>88</v>
      </c>
      <c r="H19" s="30"/>
      <c r="I19" s="31" t="n">
        <f aca="false">'VORN objektu (SO01.10)'!I26</f>
        <v>0</v>
      </c>
    </row>
    <row r="20" customFormat="false" ht="15" hidden="false" customHeight="false" outlineLevel="0" collapsed="false">
      <c r="A20" s="32" t="s">
        <v>45</v>
      </c>
      <c r="B20" s="32"/>
      <c r="C20" s="31" t="n">
        <f aca="false">SUM('Stavební rozpočet (SO01.10)'!AH12:AH374)</f>
        <v>0</v>
      </c>
      <c r="D20" s="30"/>
      <c r="E20" s="30"/>
      <c r="F20" s="33"/>
      <c r="G20" s="30"/>
      <c r="H20" s="30"/>
      <c r="I20" s="33"/>
    </row>
    <row r="21" customFormat="false" ht="15" hidden="false" customHeight="false" outlineLevel="0" collapsed="false">
      <c r="A21" s="29" t="s">
        <v>46</v>
      </c>
      <c r="B21" s="29"/>
      <c r="C21" s="34" t="n">
        <f aca="false">SUM('Stavební rozpočet (SO01.10)'!Z12:Z374)</f>
        <v>0</v>
      </c>
      <c r="D21" s="35"/>
      <c r="E21" s="35"/>
      <c r="F21" s="36"/>
      <c r="G21" s="35"/>
      <c r="H21" s="35"/>
      <c r="I21" s="36"/>
    </row>
    <row r="22" customFormat="false" ht="16.5" hidden="false" customHeight="true" outlineLevel="0" collapsed="false">
      <c r="A22" s="37" t="s">
        <v>47</v>
      </c>
      <c r="B22" s="37"/>
      <c r="C22" s="38" t="n">
        <f aca="false">ROUND(SUM(C14:C21),1)</f>
        <v>0</v>
      </c>
      <c r="D22" s="39" t="s">
        <v>48</v>
      </c>
      <c r="E22" s="39"/>
      <c r="F22" s="38" t="n">
        <f aca="false">SUM(F14:F21)</f>
        <v>0</v>
      </c>
      <c r="G22" s="39" t="s">
        <v>776</v>
      </c>
      <c r="H22" s="39"/>
      <c r="I22" s="38" t="n">
        <f aca="false">SUM(I14:I21)</f>
        <v>0</v>
      </c>
    </row>
    <row r="23" customFormat="false" ht="15" hidden="false" customHeight="false" outlineLevel="0" collapsed="false">
      <c r="G23" s="32" t="s">
        <v>777</v>
      </c>
      <c r="H23" s="32"/>
      <c r="I23" s="31" t="n">
        <f aca="false">'VORN objektu (SO01.10)'!I36</f>
        <v>0</v>
      </c>
    </row>
    <row r="25" customFormat="false" ht="15" hidden="false" customHeight="false" outlineLevel="0" collapsed="false">
      <c r="A25" s="41" t="s">
        <v>50</v>
      </c>
      <c r="B25" s="41"/>
      <c r="C25" s="42" t="n">
        <f aca="false">ROUND(SUM('Stavební rozpočet (SO01.10)'!AJ12:AJ374),1)</f>
        <v>0</v>
      </c>
      <c r="D25" s="43"/>
      <c r="E25" s="43"/>
      <c r="F25" s="43"/>
      <c r="G25" s="43"/>
      <c r="H25" s="43"/>
      <c r="I25" s="43"/>
    </row>
    <row r="26" customFormat="false" ht="15" hidden="false" customHeight="false" outlineLevel="0" collapsed="false">
      <c r="A26" s="44" t="s">
        <v>51</v>
      </c>
      <c r="B26" s="44"/>
      <c r="C26" s="45" t="n">
        <f aca="false">ROUND(SUM('Stavební rozpočet (SO01.10)'!AK12:AK374),1)</f>
        <v>0</v>
      </c>
      <c r="D26" s="46" t="s">
        <v>52</v>
      </c>
      <c r="E26" s="46"/>
      <c r="F26" s="42" t="n">
        <f aca="false">ROUND(C26*(12/100),2)</f>
        <v>0</v>
      </c>
      <c r="G26" s="46" t="s">
        <v>53</v>
      </c>
      <c r="H26" s="46"/>
      <c r="I26" s="42" t="n">
        <f aca="false">ROUND(SUM(C25:C27),1)</f>
        <v>0</v>
      </c>
    </row>
    <row r="27" customFormat="false" ht="15" hidden="false" customHeight="false" outlineLevel="0" collapsed="false">
      <c r="A27" s="44" t="s">
        <v>54</v>
      </c>
      <c r="B27" s="44"/>
      <c r="C27" s="45" t="n">
        <f aca="false">ROUND(SUM('Stavební rozpočet (SO01.10)'!AL12:AL374)+(F22+I22+F23+I23+I24),1)</f>
        <v>0</v>
      </c>
      <c r="D27" s="47" t="s">
        <v>55</v>
      </c>
      <c r="E27" s="47"/>
      <c r="F27" s="45" t="n">
        <f aca="false">ROUND(C27*(21/100),2)</f>
        <v>0</v>
      </c>
      <c r="G27" s="47" t="s">
        <v>56</v>
      </c>
      <c r="H27" s="47"/>
      <c r="I27" s="45" t="n">
        <f aca="false">ROUND(SUM(F26:F27)+I26,1)</f>
        <v>0</v>
      </c>
    </row>
    <row r="29" customFormat="false" ht="15" hidden="false" customHeight="false" outlineLevel="0" collapsed="false">
      <c r="A29" s="48" t="s">
        <v>57</v>
      </c>
      <c r="B29" s="48"/>
      <c r="C29" s="48"/>
      <c r="D29" s="49" t="s">
        <v>58</v>
      </c>
      <c r="E29" s="49"/>
      <c r="F29" s="49"/>
      <c r="G29" s="49" t="s">
        <v>59</v>
      </c>
      <c r="H29" s="49"/>
      <c r="I29" s="49"/>
    </row>
    <row r="30" customFormat="false" ht="15" hidden="false" customHeight="false" outlineLevel="0" collapsed="false">
      <c r="A30" s="50"/>
      <c r="B30" s="50"/>
      <c r="C30" s="50"/>
      <c r="D30" s="51"/>
      <c r="E30" s="51"/>
      <c r="F30" s="51"/>
      <c r="G30" s="51"/>
      <c r="H30" s="51"/>
      <c r="I30" s="51"/>
    </row>
    <row r="31" customFormat="false" ht="15" hidden="false" customHeight="false" outlineLevel="0" collapsed="false">
      <c r="A31" s="50"/>
      <c r="B31" s="50"/>
      <c r="C31" s="50"/>
      <c r="D31" s="51"/>
      <c r="E31" s="51"/>
      <c r="F31" s="51"/>
      <c r="G31" s="51"/>
      <c r="H31" s="51"/>
      <c r="I31" s="51"/>
    </row>
    <row r="32" customFormat="false" ht="15" hidden="false" customHeight="false" outlineLevel="0" collapsed="false">
      <c r="A32" s="50"/>
      <c r="B32" s="50"/>
      <c r="C32" s="50"/>
      <c r="D32" s="51"/>
      <c r="E32" s="51"/>
      <c r="F32" s="51"/>
      <c r="G32" s="51"/>
      <c r="H32" s="51"/>
      <c r="I32" s="51"/>
    </row>
    <row r="33" customFormat="false" ht="15" hidden="false" customHeight="false" outlineLevel="0" collapsed="false">
      <c r="A33" s="52" t="s">
        <v>60</v>
      </c>
      <c r="B33" s="52"/>
      <c r="C33" s="52"/>
      <c r="D33" s="53" t="s">
        <v>60</v>
      </c>
      <c r="E33" s="53"/>
      <c r="F33" s="53"/>
      <c r="G33" s="53" t="s">
        <v>60</v>
      </c>
      <c r="H33" s="53"/>
      <c r="I33" s="53"/>
    </row>
    <row r="34" customFormat="false" ht="15" hidden="false" customHeight="false" outlineLevel="0" collapsed="false">
      <c r="A34" s="1"/>
    </row>
    <row r="35" customFormat="false" ht="12.75" hidden="true" customHeight="true" outlineLevel="0" collapsed="false">
      <c r="A35" s="9"/>
      <c r="B35" s="9"/>
      <c r="C35" s="9"/>
      <c r="D35" s="9"/>
      <c r="E35" s="9"/>
      <c r="F35" s="9"/>
      <c r="G35" s="9"/>
      <c r="H35" s="9"/>
      <c r="I35" s="9"/>
    </row>
  </sheetData>
  <mergeCells count="80">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2:I12"/>
    <mergeCell ref="B13:C13"/>
    <mergeCell ref="E13:F13"/>
    <mergeCell ref="H13:I13"/>
    <mergeCell ref="D14:E14"/>
    <mergeCell ref="G14:H14"/>
    <mergeCell ref="D15:E15"/>
    <mergeCell ref="G15:H15"/>
    <mergeCell ref="D16:E16"/>
    <mergeCell ref="G16:H16"/>
    <mergeCell ref="D17:E17"/>
    <mergeCell ref="G17:H17"/>
    <mergeCell ref="D18:E18"/>
    <mergeCell ref="G18:H18"/>
    <mergeCell ref="D19:E19"/>
    <mergeCell ref="G19:H19"/>
    <mergeCell ref="A20:B20"/>
    <mergeCell ref="D20:E20"/>
    <mergeCell ref="G20:H20"/>
    <mergeCell ref="A21:B21"/>
    <mergeCell ref="D21:E21"/>
    <mergeCell ref="G21:H21"/>
    <mergeCell ref="A22:B22"/>
    <mergeCell ref="D22:E22"/>
    <mergeCell ref="G22:H22"/>
    <mergeCell ref="G23:H23"/>
    <mergeCell ref="A25:B25"/>
    <mergeCell ref="A26:B26"/>
    <mergeCell ref="D26:E26"/>
    <mergeCell ref="G26:H26"/>
    <mergeCell ref="A27:B27"/>
    <mergeCell ref="D27:E27"/>
    <mergeCell ref="G27:H27"/>
    <mergeCell ref="A29:C29"/>
    <mergeCell ref="D29:F29"/>
    <mergeCell ref="G29:I29"/>
    <mergeCell ref="A30:C30"/>
    <mergeCell ref="D30:F30"/>
    <mergeCell ref="G30:I30"/>
    <mergeCell ref="A31:C31"/>
    <mergeCell ref="D31:F31"/>
    <mergeCell ref="G31:I31"/>
    <mergeCell ref="A32:C32"/>
    <mergeCell ref="D32:F32"/>
    <mergeCell ref="G32:I32"/>
    <mergeCell ref="A33:C33"/>
    <mergeCell ref="D33:F33"/>
    <mergeCell ref="G33:I33"/>
    <mergeCell ref="A35:I35"/>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1" pageOrder="downThenOver" orientation="landscape"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I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6" activeCellId="0" sqref="A36"/>
    </sheetView>
  </sheetViews>
  <sheetFormatPr defaultColWidth="12.1484375" defaultRowHeight="15" customHeight="true" zeroHeight="false" outlineLevelRow="0" outlineLevelCol="0"/>
  <cols>
    <col collapsed="false" customWidth="true" hidden="false" outlineLevel="0" max="1" min="1" style="22" width="9.14"/>
    <col collapsed="false" customWidth="true" hidden="false" outlineLevel="0" max="2" min="2" style="22" width="12.86"/>
    <col collapsed="false" customWidth="true" hidden="false" outlineLevel="0" max="3" min="3" style="22" width="22.86"/>
    <col collapsed="false" customWidth="true" hidden="false" outlineLevel="0" max="4" min="4" style="22" width="10"/>
    <col collapsed="false" customWidth="true" hidden="false" outlineLevel="0" max="5" min="5" style="22" width="14"/>
    <col collapsed="false" customWidth="true" hidden="false" outlineLevel="0" max="6" min="6" style="22" width="22.86"/>
    <col collapsed="false" customWidth="true" hidden="false" outlineLevel="0" max="7" min="7" style="22" width="9.14"/>
    <col collapsed="false" customWidth="true" hidden="false" outlineLevel="0" max="8" min="8" style="22" width="17.15"/>
    <col collapsed="false" customWidth="true" hidden="false" outlineLevel="0" max="9" min="9" style="22" width="22.86"/>
  </cols>
  <sheetData>
    <row r="1" customFormat="false" ht="54.75" hidden="false" customHeight="true" outlineLevel="0" collapsed="false">
      <c r="A1" s="24" t="s">
        <v>778</v>
      </c>
      <c r="B1" s="24"/>
      <c r="C1" s="24"/>
      <c r="D1" s="24"/>
      <c r="E1" s="24"/>
      <c r="F1" s="24"/>
      <c r="G1" s="24"/>
      <c r="H1" s="24"/>
      <c r="I1" s="24"/>
    </row>
    <row r="2" customFormat="false" ht="15" hidden="false" customHeight="true" outlineLevel="0" collapsed="false">
      <c r="A2" s="3" t="s">
        <v>1</v>
      </c>
      <c r="B2" s="3"/>
      <c r="C2" s="4" t="str">
        <f aca="false">'Stavební rozpočet'!C2</f>
        <v>Přeměna sídlištních ploch – II. Etapa _ Fontána Jablko</v>
      </c>
      <c r="D2" s="4"/>
      <c r="E2" s="5" t="s">
        <v>2</v>
      </c>
      <c r="F2" s="5" t="str">
        <f aca="false">'Stavební rozpočet'!I2</f>
        <v>Městská část Praha 12, Generála Šišky 2375/6, 143</v>
      </c>
      <c r="G2" s="5"/>
      <c r="H2" s="5" t="s">
        <v>3</v>
      </c>
      <c r="I2" s="6" t="s">
        <v>4</v>
      </c>
    </row>
    <row r="3" customFormat="false" ht="15" hidden="false" customHeight="true" outlineLevel="0" collapsed="false">
      <c r="A3" s="3"/>
      <c r="B3" s="3"/>
      <c r="C3" s="4"/>
      <c r="D3" s="4"/>
      <c r="E3" s="5"/>
      <c r="F3" s="5"/>
      <c r="G3" s="5"/>
      <c r="H3" s="5"/>
      <c r="I3" s="6"/>
    </row>
    <row r="4" customFormat="false" ht="15" hidden="false" customHeight="true" outlineLevel="0" collapsed="false">
      <c r="A4" s="8" t="s">
        <v>5</v>
      </c>
      <c r="B4" s="8"/>
      <c r="C4" s="9" t="str">
        <f aca="false">'Stavební rozpočet'!C4</f>
        <v>Stavební úpravy veřejného prostranství _Fontána Jablko</v>
      </c>
      <c r="D4" s="9"/>
      <c r="E4" s="9" t="s">
        <v>6</v>
      </c>
      <c r="F4" s="9" t="str">
        <f aca="false">'Stavební rozpočet'!I4</f>
        <v>HUA HUA ARCHITECTS s.r.o., Porážka 459/2, 602 00 Brno</v>
      </c>
      <c r="G4" s="9"/>
      <c r="H4" s="9" t="s">
        <v>3</v>
      </c>
      <c r="I4" s="10" t="s">
        <v>7</v>
      </c>
    </row>
    <row r="5" customFormat="false" ht="15" hidden="false" customHeight="true" outlineLevel="0" collapsed="false">
      <c r="A5" s="8"/>
      <c r="B5" s="8"/>
      <c r="C5" s="9"/>
      <c r="D5" s="9"/>
      <c r="E5" s="9"/>
      <c r="F5" s="9"/>
      <c r="G5" s="9"/>
      <c r="H5" s="9"/>
      <c r="I5" s="10"/>
    </row>
    <row r="6" customFormat="false" ht="15" hidden="false" customHeight="true" outlineLevel="0" collapsed="false">
      <c r="A6" s="8" t="s">
        <v>8</v>
      </c>
      <c r="B6" s="8"/>
      <c r="C6" s="9" t="str">
        <f aca="false">'Stavební rozpočet'!C6</f>
        <v>Praha (554782),Modřany (728616), par.č. 4400/448</v>
      </c>
      <c r="D6" s="9"/>
      <c r="E6" s="9" t="s">
        <v>9</v>
      </c>
      <c r="F6" s="9" t="str">
        <f aca="false">'Stavební rozpočet'!I6</f>
        <v> </v>
      </c>
      <c r="G6" s="9"/>
      <c r="H6" s="9" t="s">
        <v>3</v>
      </c>
      <c r="I6" s="10"/>
    </row>
    <row r="7" customFormat="false" ht="15" hidden="false" customHeight="true" outlineLevel="0" collapsed="false">
      <c r="A7" s="8"/>
      <c r="B7" s="8"/>
      <c r="C7" s="9"/>
      <c r="D7" s="9"/>
      <c r="E7" s="9"/>
      <c r="F7" s="9"/>
      <c r="G7" s="9"/>
      <c r="H7" s="9"/>
      <c r="I7" s="10"/>
    </row>
    <row r="8" customFormat="false" ht="15" hidden="false" customHeight="true" outlineLevel="0" collapsed="false">
      <c r="A8" s="8" t="s">
        <v>10</v>
      </c>
      <c r="B8" s="8"/>
      <c r="C8" s="9" t="str">
        <f aca="false">'Stavební rozpočet'!F4</f>
        <v> </v>
      </c>
      <c r="D8" s="9"/>
      <c r="E8" s="9" t="s">
        <v>11</v>
      </c>
      <c r="F8" s="9" t="str">
        <f aca="false">'Stavební rozpočet'!F6</f>
        <v> </v>
      </c>
      <c r="G8" s="9"/>
      <c r="H8" s="11" t="s">
        <v>12</v>
      </c>
      <c r="I8" s="12" t="n">
        <v>21</v>
      </c>
    </row>
    <row r="9" customFormat="false" ht="15" hidden="false" customHeight="false" outlineLevel="0" collapsed="false">
      <c r="A9" s="8"/>
      <c r="B9" s="8"/>
      <c r="C9" s="9"/>
      <c r="D9" s="9"/>
      <c r="E9" s="9"/>
      <c r="F9" s="9"/>
      <c r="G9" s="9"/>
      <c r="H9" s="11"/>
      <c r="I9" s="12"/>
    </row>
    <row r="10" customFormat="false" ht="15" hidden="false" customHeight="true" outlineLevel="0" collapsed="false">
      <c r="A10" s="13" t="s">
        <v>13</v>
      </c>
      <c r="B10" s="13"/>
      <c r="C10" s="14" t="str">
        <f aca="false">'Stavební rozpočet'!C8</f>
        <v>8225733</v>
      </c>
      <c r="D10" s="14"/>
      <c r="E10" s="14" t="s">
        <v>14</v>
      </c>
      <c r="F10" s="14" t="str">
        <f aca="false">'Stavební rozpočet'!I8</f>
        <v>Bohuslav Hemala</v>
      </c>
      <c r="G10" s="14"/>
      <c r="H10" s="15" t="s">
        <v>15</v>
      </c>
      <c r="I10" s="16" t="str">
        <f aca="false">'Stavební rozpočet'!F8</f>
        <v>08.01.2026</v>
      </c>
    </row>
    <row r="11" customFormat="false" ht="15" hidden="false" customHeight="false" outlineLevel="0" collapsed="false">
      <c r="A11" s="13"/>
      <c r="B11" s="13"/>
      <c r="C11" s="14"/>
      <c r="D11" s="14"/>
      <c r="E11" s="14"/>
      <c r="F11" s="14"/>
      <c r="G11" s="14"/>
      <c r="H11" s="15"/>
      <c r="I11" s="16"/>
    </row>
    <row r="13" customFormat="false" ht="15" hidden="false" customHeight="false" outlineLevel="0" collapsed="false">
      <c r="A13" s="58" t="s">
        <v>76</v>
      </c>
      <c r="B13" s="58"/>
      <c r="C13" s="58"/>
      <c r="D13" s="58"/>
      <c r="E13" s="58"/>
    </row>
    <row r="14" customFormat="false" ht="15" hidden="false" customHeight="false" outlineLevel="0" collapsed="false">
      <c r="A14" s="59" t="s">
        <v>77</v>
      </c>
      <c r="B14" s="59"/>
      <c r="C14" s="59"/>
      <c r="D14" s="59"/>
      <c r="E14" s="59"/>
      <c r="F14" s="60" t="s">
        <v>78</v>
      </c>
      <c r="G14" s="60" t="s">
        <v>79</v>
      </c>
      <c r="H14" s="60" t="s">
        <v>80</v>
      </c>
      <c r="I14" s="60" t="s">
        <v>78</v>
      </c>
    </row>
    <row r="15" customFormat="false" ht="15" hidden="false" customHeight="false" outlineLevel="0" collapsed="false">
      <c r="A15" s="61" t="s">
        <v>39</v>
      </c>
      <c r="B15" s="61"/>
      <c r="C15" s="61"/>
      <c r="D15" s="61"/>
      <c r="E15" s="61"/>
      <c r="F15" s="62" t="n">
        <v>0</v>
      </c>
      <c r="G15" s="63"/>
      <c r="H15" s="63"/>
      <c r="I15" s="62" t="n">
        <f aca="false">F15</f>
        <v>0</v>
      </c>
    </row>
    <row r="16" customFormat="false" ht="15" hidden="false" customHeight="false" outlineLevel="0" collapsed="false">
      <c r="A16" s="61" t="s">
        <v>41</v>
      </c>
      <c r="B16" s="61"/>
      <c r="C16" s="61"/>
      <c r="D16" s="61"/>
      <c r="E16" s="61"/>
      <c r="F16" s="62" t="n">
        <v>0</v>
      </c>
      <c r="G16" s="63"/>
      <c r="H16" s="63"/>
      <c r="I16" s="62" t="n">
        <f aca="false">F16</f>
        <v>0</v>
      </c>
    </row>
    <row r="17" customFormat="false" ht="15" hidden="false" customHeight="false" outlineLevel="0" collapsed="false">
      <c r="A17" s="64" t="s">
        <v>43</v>
      </c>
      <c r="B17" s="64"/>
      <c r="C17" s="64"/>
      <c r="D17" s="64"/>
      <c r="E17" s="64"/>
      <c r="F17" s="65" t="n">
        <v>0</v>
      </c>
      <c r="G17" s="10"/>
      <c r="H17" s="10"/>
      <c r="I17" s="65" t="n">
        <f aca="false">F17</f>
        <v>0</v>
      </c>
    </row>
    <row r="18" customFormat="false" ht="15" hidden="false" customHeight="false" outlineLevel="0" collapsed="false">
      <c r="A18" s="66" t="s">
        <v>81</v>
      </c>
      <c r="B18" s="66"/>
      <c r="C18" s="66"/>
      <c r="D18" s="66"/>
      <c r="E18" s="66"/>
      <c r="F18" s="67"/>
      <c r="G18" s="68"/>
      <c r="H18" s="68"/>
      <c r="I18" s="69" t="n">
        <f aca="false">SUM(I15:I17)</f>
        <v>0</v>
      </c>
    </row>
    <row r="20" customFormat="false" ht="15" hidden="false" customHeight="false" outlineLevel="0" collapsed="false">
      <c r="A20" s="59" t="s">
        <v>82</v>
      </c>
      <c r="B20" s="59"/>
      <c r="C20" s="59"/>
      <c r="D20" s="59"/>
      <c r="E20" s="59"/>
      <c r="F20" s="60" t="s">
        <v>78</v>
      </c>
      <c r="G20" s="60" t="s">
        <v>79</v>
      </c>
      <c r="H20" s="60" t="s">
        <v>80</v>
      </c>
      <c r="I20" s="60" t="s">
        <v>78</v>
      </c>
    </row>
    <row r="21" customFormat="false" ht="15" hidden="false" customHeight="false" outlineLevel="0" collapsed="false">
      <c r="A21" s="61" t="s">
        <v>83</v>
      </c>
      <c r="B21" s="61"/>
      <c r="C21" s="61"/>
      <c r="D21" s="61"/>
      <c r="E21" s="61"/>
      <c r="F21" s="62" t="n">
        <v>0</v>
      </c>
      <c r="G21" s="63"/>
      <c r="H21" s="63"/>
      <c r="I21" s="62" t="n">
        <f aca="false">F21</f>
        <v>0</v>
      </c>
    </row>
    <row r="22" customFormat="false" ht="15" hidden="false" customHeight="false" outlineLevel="0" collapsed="false">
      <c r="A22" s="61" t="s">
        <v>84</v>
      </c>
      <c r="B22" s="61"/>
      <c r="C22" s="61"/>
      <c r="D22" s="61"/>
      <c r="E22" s="61"/>
      <c r="F22" s="62" t="n">
        <v>0</v>
      </c>
      <c r="G22" s="63"/>
      <c r="H22" s="63"/>
      <c r="I22" s="62" t="n">
        <f aca="false">F22</f>
        <v>0</v>
      </c>
    </row>
    <row r="23" customFormat="false" ht="15" hidden="false" customHeight="false" outlineLevel="0" collapsed="false">
      <c r="A23" s="61" t="s">
        <v>85</v>
      </c>
      <c r="B23" s="61"/>
      <c r="C23" s="61"/>
      <c r="D23" s="61"/>
      <c r="E23" s="61"/>
      <c r="F23" s="62" t="n">
        <v>0</v>
      </c>
      <c r="G23" s="63"/>
      <c r="H23" s="63"/>
      <c r="I23" s="62" t="n">
        <f aca="false">F23</f>
        <v>0</v>
      </c>
    </row>
    <row r="24" customFormat="false" ht="15" hidden="false" customHeight="false" outlineLevel="0" collapsed="false">
      <c r="A24" s="61" t="s">
        <v>86</v>
      </c>
      <c r="B24" s="61"/>
      <c r="C24" s="61"/>
      <c r="D24" s="61"/>
      <c r="E24" s="61"/>
      <c r="F24" s="62" t="n">
        <v>0</v>
      </c>
      <c r="G24" s="63"/>
      <c r="H24" s="63"/>
      <c r="I24" s="62" t="n">
        <f aca="false">F24</f>
        <v>0</v>
      </c>
    </row>
    <row r="25" customFormat="false" ht="15" hidden="false" customHeight="false" outlineLevel="0" collapsed="false">
      <c r="A25" s="61" t="s">
        <v>87</v>
      </c>
      <c r="B25" s="61"/>
      <c r="C25" s="61"/>
      <c r="D25" s="61"/>
      <c r="E25" s="61"/>
      <c r="F25" s="62" t="n">
        <v>0</v>
      </c>
      <c r="G25" s="63"/>
      <c r="H25" s="63"/>
      <c r="I25" s="62" t="n">
        <f aca="false">F25</f>
        <v>0</v>
      </c>
    </row>
    <row r="26" customFormat="false" ht="15" hidden="false" customHeight="false" outlineLevel="0" collapsed="false">
      <c r="A26" s="64" t="s">
        <v>88</v>
      </c>
      <c r="B26" s="64"/>
      <c r="C26" s="64"/>
      <c r="D26" s="64"/>
      <c r="E26" s="64"/>
      <c r="F26" s="65" t="n">
        <v>0</v>
      </c>
      <c r="G26" s="10"/>
      <c r="H26" s="10"/>
      <c r="I26" s="65" t="n">
        <f aca="false">F26</f>
        <v>0</v>
      </c>
    </row>
    <row r="27" customFormat="false" ht="15" hidden="false" customHeight="false" outlineLevel="0" collapsed="false">
      <c r="A27" s="66" t="s">
        <v>89</v>
      </c>
      <c r="B27" s="66"/>
      <c r="C27" s="66"/>
      <c r="D27" s="66"/>
      <c r="E27" s="66"/>
      <c r="F27" s="67"/>
      <c r="G27" s="68"/>
      <c r="H27" s="68"/>
      <c r="I27" s="69" t="n">
        <f aca="false">SUM(I21:I26)</f>
        <v>0</v>
      </c>
    </row>
    <row r="29" customFormat="false" ht="15" hidden="false" customHeight="false" outlineLevel="0" collapsed="false">
      <c r="A29" s="70" t="s">
        <v>90</v>
      </c>
      <c r="B29" s="70"/>
      <c r="C29" s="70"/>
      <c r="D29" s="70"/>
      <c r="E29" s="70"/>
      <c r="F29" s="71" t="n">
        <f aca="false">I18+I27</f>
        <v>0</v>
      </c>
      <c r="G29" s="71"/>
      <c r="H29" s="71"/>
      <c r="I29" s="71"/>
    </row>
    <row r="33" customFormat="false" ht="15" hidden="false" customHeight="false" outlineLevel="0" collapsed="false">
      <c r="A33" s="58" t="s">
        <v>91</v>
      </c>
      <c r="B33" s="58"/>
      <c r="C33" s="58"/>
      <c r="D33" s="58"/>
      <c r="E33" s="58"/>
    </row>
    <row r="34" customFormat="false" ht="15" hidden="false" customHeight="false" outlineLevel="0" collapsed="false">
      <c r="A34" s="59" t="s">
        <v>92</v>
      </c>
      <c r="B34" s="59"/>
      <c r="C34" s="59"/>
      <c r="D34" s="59"/>
      <c r="E34" s="59"/>
      <c r="F34" s="60" t="s">
        <v>78</v>
      </c>
      <c r="G34" s="60" t="s">
        <v>79</v>
      </c>
      <c r="H34" s="60" t="s">
        <v>80</v>
      </c>
      <c r="I34" s="60" t="s">
        <v>78</v>
      </c>
    </row>
    <row r="35" customFormat="false" ht="15" hidden="false" customHeight="false" outlineLevel="0" collapsed="false">
      <c r="A35" s="64"/>
      <c r="B35" s="64"/>
      <c r="C35" s="64"/>
      <c r="D35" s="64"/>
      <c r="E35" s="64"/>
      <c r="F35" s="65" t="n">
        <v>0</v>
      </c>
      <c r="G35" s="10"/>
      <c r="H35" s="10"/>
      <c r="I35" s="65" t="n">
        <f aca="false">F35</f>
        <v>0</v>
      </c>
    </row>
    <row r="36" customFormat="false" ht="15" hidden="false" customHeight="false" outlineLevel="0" collapsed="false">
      <c r="A36" s="66" t="s">
        <v>93</v>
      </c>
      <c r="B36" s="66"/>
      <c r="C36" s="66"/>
      <c r="D36" s="66"/>
      <c r="E36" s="66"/>
      <c r="F36" s="67"/>
      <c r="G36" s="68"/>
      <c r="H36" s="68"/>
      <c r="I36" s="69" t="n">
        <f aca="false">SUM(I35)</f>
        <v>0</v>
      </c>
    </row>
  </sheetData>
  <mergeCells count="51">
    <mergeCell ref="A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s>
  <printOptions headings="false" gridLines="false" gridLinesSet="true" horizontalCentered="false" verticalCentered="false"/>
  <pageMargins left="0.39375" right="0.39375" top="0.590972222222222" bottom="0.590972222222222" header="0.511811023622047" footer="0.511811023622047"/>
  <pageSetup paperSize="1"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102</TotalTime>
  <Application>LibreOffice/25.8.3.2$Windows_X86_64 LibreOffice_project/8ca8d55c161d602844f5428fa4b58097424e324e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2021-06-10T20:06:38Z</dcterms:created>
  <dc:creator>HP</dc:creator>
  <dc:description/>
  <dc:language>cs-CZ</dc:language>
  <cp:lastModifiedBy/>
  <cp:lastPrinted>2026-01-09T08:08:13Z</cp:lastPrinted>
  <dcterms:modified xsi:type="dcterms:W3CDTF">2026-01-09T08:10:35Z</dcterms:modified>
  <cp:revision>29</cp:revision>
  <dc:subject/>
  <dc:title/>
</cp:coreProperties>
</file>

<file path=docProps/custom.xml><?xml version="1.0" encoding="utf-8"?>
<Properties xmlns="http://schemas.openxmlformats.org/officeDocument/2006/custom-properties" xmlns:vt="http://schemas.openxmlformats.org/officeDocument/2006/docPropsVTypes"/>
</file>